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eLivro" defaultThemeVersion="166925"/>
  <mc:AlternateContent xmlns:mc="http://schemas.openxmlformats.org/markup-compatibility/2006">
    <mc:Choice Requires="x15">
      <x15ac:absPath xmlns:x15ac="http://schemas.microsoft.com/office/spreadsheetml/2010/11/ac" url="Z:\1 - PRODUCAO\Em Curso\2023\T02523\05Documentos_Provisórios\FMC\"/>
    </mc:Choice>
  </mc:AlternateContent>
  <xr:revisionPtr revIDLastSave="0" documentId="13_ncr:1_{2555190E-DFE4-400A-B79B-177D14B7CD5F}"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08" yWindow="-108" windowWidth="23256" windowHeight="12456" tabRatio="882" firstSheet="2" activeTab="14"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7" i="56" l="1"/>
  <c r="K206" i="56"/>
  <c r="K203" i="56"/>
  <c r="K202" i="56"/>
  <c r="K201" i="56"/>
  <c r="K198" i="56"/>
  <c r="K196" i="56"/>
  <c r="K195" i="56"/>
  <c r="K194" i="56"/>
  <c r="K193" i="56"/>
  <c r="K192" i="56"/>
  <c r="F191" i="56"/>
  <c r="F190" i="56"/>
  <c r="F189" i="56"/>
  <c r="F188" i="56"/>
  <c r="K187" i="56"/>
  <c r="F186" i="56"/>
  <c r="F185" i="56"/>
  <c r="K184" i="56"/>
  <c r="K183" i="56"/>
  <c r="F182" i="56"/>
  <c r="F181" i="56"/>
  <c r="F180" i="56"/>
  <c r="F179" i="56"/>
  <c r="K178" i="56"/>
  <c r="K177" i="56"/>
  <c r="K176" i="56"/>
  <c r="K175" i="56"/>
  <c r="K173" i="56"/>
  <c r="F172" i="56"/>
  <c r="K171" i="56"/>
  <c r="F170" i="56"/>
  <c r="F169" i="56"/>
  <c r="F168" i="56"/>
  <c r="F167" i="56"/>
  <c r="E34" i="2"/>
  <c r="E95" i="27"/>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N168" i="56"/>
  <c r="N169" i="56"/>
  <c r="N170" i="56"/>
  <c r="N171" i="56"/>
  <c r="N172" i="56"/>
  <c r="N173" i="56"/>
  <c r="N174" i="56"/>
  <c r="N175" i="56"/>
  <c r="N176" i="56"/>
  <c r="N177" i="56"/>
  <c r="N167" i="56"/>
  <c r="S167" i="56"/>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O167" i="56" l="1"/>
  <c r="F34" i="25"/>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0"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I136" i="17"/>
  <c r="I137" i="17"/>
  <c r="I138" i="17"/>
  <c r="I139" i="17"/>
  <c r="I140" i="17"/>
  <c r="I141" i="17"/>
  <c r="I142" i="17"/>
  <c r="I143" i="17"/>
  <c r="I144"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J84" i="17" l="1"/>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N244" i="56"/>
  <c r="O244" i="56" s="1"/>
  <c r="Q244" i="56" s="1"/>
  <c r="N245" i="56"/>
  <c r="O245" i="56" s="1"/>
  <c r="Q245" i="56" s="1"/>
  <c r="N247" i="56"/>
  <c r="O247" i="56" s="1"/>
  <c r="Q247" i="56" s="1"/>
  <c r="N213" i="56"/>
  <c r="O213" i="56" s="1"/>
  <c r="Q213"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F402" i="56" l="1"/>
  <c r="H400" i="56"/>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K149" i="57"/>
  <c r="H405" i="56" s="1"/>
  <c r="H415" i="56" s="1"/>
  <c r="H414" i="56"/>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F137" i="46" s="1"/>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K129" i="46" l="1"/>
  <c r="D60" i="12"/>
  <c r="F138" i="46"/>
  <c r="E60" i="12" s="1"/>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I138" i="46" l="1"/>
  <c r="L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Q134" i="15" l="1"/>
  <c r="J51" i="12"/>
  <c r="I143" i="15"/>
  <c r="L51" i="12" s="1"/>
  <c r="D7" i="17"/>
  <c r="B122" i="18"/>
  <c r="I145" i="17" s="1"/>
  <c r="C122" i="18"/>
  <c r="P122" i="18" s="1"/>
  <c r="D122" i="18"/>
  <c r="E122" i="18"/>
  <c r="G122" i="18"/>
  <c r="V122" i="18" s="1"/>
  <c r="H122" i="18"/>
  <c r="B123" i="18"/>
  <c r="I146" i="17" s="1"/>
  <c r="C123" i="18"/>
  <c r="K123" i="18" s="1"/>
  <c r="D123" i="18"/>
  <c r="E123" i="18"/>
  <c r="G123" i="18"/>
  <c r="V123" i="18" s="1"/>
  <c r="H123" i="18"/>
  <c r="B124" i="18"/>
  <c r="I147" i="17" s="1"/>
  <c r="C124" i="18"/>
  <c r="D124" i="18"/>
  <c r="E124" i="18"/>
  <c r="G124" i="18"/>
  <c r="V124" i="18" s="1"/>
  <c r="H124" i="18"/>
  <c r="B125" i="18"/>
  <c r="I148" i="17" s="1"/>
  <c r="C125" i="18"/>
  <c r="D125" i="18"/>
  <c r="E125" i="18"/>
  <c r="G125" i="18"/>
  <c r="V125" i="18" s="1"/>
  <c r="H125" i="18"/>
  <c r="B126" i="18"/>
  <c r="I149" i="17" s="1"/>
  <c r="C126" i="18"/>
  <c r="W126" i="18" s="1"/>
  <c r="D126" i="18"/>
  <c r="E126" i="18"/>
  <c r="G126" i="18"/>
  <c r="V126" i="18" s="1"/>
  <c r="H126" i="18"/>
  <c r="B127" i="18"/>
  <c r="I150" i="17" s="1"/>
  <c r="C127" i="18"/>
  <c r="M127" i="18" s="1"/>
  <c r="D127" i="18"/>
  <c r="E127" i="18"/>
  <c r="G127" i="18"/>
  <c r="V127" i="18" s="1"/>
  <c r="H127" i="18"/>
  <c r="B128" i="18"/>
  <c r="I151" i="17" s="1"/>
  <c r="C128" i="18"/>
  <c r="P128" i="18" s="1"/>
  <c r="D128" i="18"/>
  <c r="E128" i="18"/>
  <c r="G128" i="18"/>
  <c r="V128" i="18" s="1"/>
  <c r="H128" i="18"/>
  <c r="B129" i="18"/>
  <c r="I152" i="17" s="1"/>
  <c r="C129" i="18"/>
  <c r="K129" i="18" s="1"/>
  <c r="D129" i="18"/>
  <c r="E129" i="18"/>
  <c r="G129" i="18"/>
  <c r="V129" i="18" s="1"/>
  <c r="H129" i="18"/>
  <c r="B130" i="18"/>
  <c r="I153" i="17" s="1"/>
  <c r="C130" i="18"/>
  <c r="Q130" i="18" s="1"/>
  <c r="D130" i="18"/>
  <c r="E130" i="18"/>
  <c r="G130" i="18"/>
  <c r="V130" i="18" s="1"/>
  <c r="H130" i="18"/>
  <c r="B131" i="18"/>
  <c r="I154" i="17" s="1"/>
  <c r="C131" i="18"/>
  <c r="D131" i="18"/>
  <c r="E131" i="18"/>
  <c r="G131" i="18"/>
  <c r="V131" i="18" s="1"/>
  <c r="H131" i="18"/>
  <c r="B132" i="18"/>
  <c r="I155" i="17" s="1"/>
  <c r="C132" i="18"/>
  <c r="D132" i="18"/>
  <c r="E132" i="18"/>
  <c r="G132" i="18"/>
  <c r="V132" i="18" s="1"/>
  <c r="H132" i="18"/>
  <c r="B133" i="18"/>
  <c r="I156" i="17" s="1"/>
  <c r="C133" i="18"/>
  <c r="O133" i="18" s="1"/>
  <c r="D133" i="18"/>
  <c r="E133" i="18"/>
  <c r="G133" i="18"/>
  <c r="V133" i="18" s="1"/>
  <c r="H133" i="18"/>
  <c r="B134" i="18"/>
  <c r="I157" i="17" s="1"/>
  <c r="C134" i="18"/>
  <c r="D134" i="18"/>
  <c r="E134" i="18"/>
  <c r="G134" i="18"/>
  <c r="V134" i="18" s="1"/>
  <c r="H134" i="18"/>
  <c r="B135" i="18"/>
  <c r="I158" i="17" s="1"/>
  <c r="C135" i="18"/>
  <c r="D135" i="18"/>
  <c r="E135" i="18"/>
  <c r="G135" i="18"/>
  <c r="V135" i="18" s="1"/>
  <c r="H135" i="18"/>
  <c r="B136" i="18"/>
  <c r="I159" i="17" s="1"/>
  <c r="C136" i="18"/>
  <c r="D136" i="18"/>
  <c r="E136" i="18"/>
  <c r="G136" i="18"/>
  <c r="V136" i="18" s="1"/>
  <c r="H136" i="18"/>
  <c r="B137" i="18"/>
  <c r="I160" i="17" s="1"/>
  <c r="C137" i="18"/>
  <c r="R137" i="18" s="1"/>
  <c r="D137" i="18"/>
  <c r="E137" i="18"/>
  <c r="G137" i="18"/>
  <c r="V137" i="18" s="1"/>
  <c r="H137" i="18"/>
  <c r="B138" i="18"/>
  <c r="I161" i="17" s="1"/>
  <c r="C138" i="18"/>
  <c r="R138" i="18" s="1"/>
  <c r="D138" i="18"/>
  <c r="E138" i="18"/>
  <c r="G138" i="18"/>
  <c r="V138" i="18" s="1"/>
  <c r="H138" i="18"/>
  <c r="B139" i="18"/>
  <c r="I162" i="17" s="1"/>
  <c r="C139" i="18"/>
  <c r="D139" i="18"/>
  <c r="E139" i="18"/>
  <c r="G139" i="18"/>
  <c r="V139" i="18" s="1"/>
  <c r="H139" i="18"/>
  <c r="B140" i="18"/>
  <c r="I163" i="17" s="1"/>
  <c r="C140" i="18"/>
  <c r="O140" i="18" s="1"/>
  <c r="D140" i="18"/>
  <c r="E140" i="18"/>
  <c r="G140" i="18"/>
  <c r="V140" i="18" s="1"/>
  <c r="H140" i="18"/>
  <c r="B141" i="18"/>
  <c r="I164" i="17" s="1"/>
  <c r="C141" i="18"/>
  <c r="Q141" i="18" s="1"/>
  <c r="D141" i="18"/>
  <c r="E141" i="18"/>
  <c r="G141" i="18"/>
  <c r="V141" i="18" s="1"/>
  <c r="H141" i="18"/>
  <c r="B142" i="18"/>
  <c r="I165" i="17" s="1"/>
  <c r="C142" i="18"/>
  <c r="D142" i="18"/>
  <c r="E142" i="18"/>
  <c r="G142" i="18"/>
  <c r="V142" i="18" s="1"/>
  <c r="H142" i="18"/>
  <c r="B143" i="18"/>
  <c r="I166" i="17" s="1"/>
  <c r="C143" i="18"/>
  <c r="Q143" i="18" s="1"/>
  <c r="D143" i="18"/>
  <c r="E143" i="18"/>
  <c r="G143" i="18"/>
  <c r="V143" i="18" s="1"/>
  <c r="H143" i="18"/>
  <c r="B144" i="18"/>
  <c r="I167" i="17" s="1"/>
  <c r="C144" i="18"/>
  <c r="D144" i="18"/>
  <c r="E144" i="18"/>
  <c r="G144" i="18"/>
  <c r="V144" i="18" s="1"/>
  <c r="H144" i="18"/>
  <c r="B145" i="18"/>
  <c r="I168" i="17" s="1"/>
  <c r="C145" i="18"/>
  <c r="D145" i="18"/>
  <c r="E145" i="18"/>
  <c r="G145" i="18"/>
  <c r="V145" i="18" s="1"/>
  <c r="H145" i="18"/>
  <c r="B146" i="18"/>
  <c r="I169" i="17" s="1"/>
  <c r="C146" i="18"/>
  <c r="D146" i="18"/>
  <c r="E146" i="18"/>
  <c r="G146" i="18"/>
  <c r="V146" i="18" s="1"/>
  <c r="H146" i="18"/>
  <c r="B147" i="18"/>
  <c r="I170" i="17" s="1"/>
  <c r="C147" i="18"/>
  <c r="R147" i="18" s="1"/>
  <c r="D147" i="18"/>
  <c r="E147" i="18"/>
  <c r="G147" i="18"/>
  <c r="V147" i="18" s="1"/>
  <c r="H147" i="18"/>
  <c r="B148" i="18"/>
  <c r="I171" i="17" s="1"/>
  <c r="C148" i="18"/>
  <c r="L148" i="18" s="1"/>
  <c r="D148" i="18"/>
  <c r="E148" i="18"/>
  <c r="G148" i="18"/>
  <c r="V148" i="18" s="1"/>
  <c r="H148" i="18"/>
  <c r="B149" i="18"/>
  <c r="I172" i="17" s="1"/>
  <c r="C149" i="18"/>
  <c r="R149" i="18" s="1"/>
  <c r="D149" i="18"/>
  <c r="E149" i="18"/>
  <c r="G149" i="18"/>
  <c r="V149" i="18" s="1"/>
  <c r="H149" i="18"/>
  <c r="B150" i="18"/>
  <c r="I173" i="17" s="1"/>
  <c r="C150" i="18"/>
  <c r="D150" i="18"/>
  <c r="E150" i="18"/>
  <c r="G150" i="18"/>
  <c r="V150" i="18" s="1"/>
  <c r="H150" i="18"/>
  <c r="B151" i="18"/>
  <c r="I174" i="17" s="1"/>
  <c r="C151" i="18"/>
  <c r="R151" i="18" s="1"/>
  <c r="D151" i="18"/>
  <c r="E151" i="18"/>
  <c r="G151" i="18"/>
  <c r="V151" i="18" s="1"/>
  <c r="H151" i="18"/>
  <c r="B152" i="18"/>
  <c r="I175" i="17" s="1"/>
  <c r="C152" i="18"/>
  <c r="P152" i="18" s="1"/>
  <c r="D152" i="18"/>
  <c r="E152" i="18"/>
  <c r="G152" i="18"/>
  <c r="V152" i="18" s="1"/>
  <c r="H152" i="18"/>
  <c r="B153" i="18"/>
  <c r="I176" i="17" s="1"/>
  <c r="C153" i="18"/>
  <c r="D153" i="18"/>
  <c r="E153" i="18"/>
  <c r="G153" i="18"/>
  <c r="V153" i="18" s="1"/>
  <c r="H153" i="18"/>
  <c r="B154" i="18"/>
  <c r="I177" i="17" s="1"/>
  <c r="C154" i="18"/>
  <c r="W154" i="18" s="1"/>
  <c r="D154" i="18"/>
  <c r="E154" i="18"/>
  <c r="G154" i="18"/>
  <c r="V154" i="18" s="1"/>
  <c r="H154" i="18"/>
  <c r="B155" i="18"/>
  <c r="I178" i="17" s="1"/>
  <c r="C155" i="18"/>
  <c r="M155" i="18" s="1"/>
  <c r="D155" i="18"/>
  <c r="E155" i="18"/>
  <c r="G155" i="18"/>
  <c r="V155" i="18" s="1"/>
  <c r="H155" i="18"/>
  <c r="B156" i="18"/>
  <c r="I179" i="17" s="1"/>
  <c r="C156" i="18"/>
  <c r="O156" i="18" s="1"/>
  <c r="D156" i="18"/>
  <c r="E156" i="18"/>
  <c r="G156" i="18"/>
  <c r="V156" i="18" s="1"/>
  <c r="H156" i="18"/>
  <c r="B157" i="18"/>
  <c r="I180" i="17" s="1"/>
  <c r="C157" i="18"/>
  <c r="Q157" i="18" s="1"/>
  <c r="D157" i="18"/>
  <c r="E157" i="18"/>
  <c r="G157" i="18"/>
  <c r="V157" i="18" s="1"/>
  <c r="H157" i="18"/>
  <c r="B158" i="18"/>
  <c r="I181" i="17" s="1"/>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C117" i="18"/>
  <c r="U117" i="18" s="1"/>
  <c r="D117" i="18"/>
  <c r="E117" i="18"/>
  <c r="G117" i="18"/>
  <c r="V117" i="18" s="1"/>
  <c r="H117" i="18"/>
  <c r="B118" i="18"/>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C121" i="18"/>
  <c r="K121" i="18" s="1"/>
  <c r="D121" i="18"/>
  <c r="E121" i="18"/>
  <c r="G121" i="18"/>
  <c r="V121" i="18" s="1"/>
  <c r="H121" i="18"/>
  <c r="D66" i="18"/>
  <c r="D67" i="18" s="1"/>
  <c r="B114" i="18"/>
  <c r="C114" i="18"/>
  <c r="R114" i="18" s="1"/>
  <c r="D114" i="18"/>
  <c r="E114" i="18"/>
  <c r="G114" i="18"/>
  <c r="V114" i="18" s="1"/>
  <c r="H114" i="18"/>
  <c r="B113" i="18"/>
  <c r="C113" i="18"/>
  <c r="U113" i="18" s="1"/>
  <c r="D113" i="18"/>
  <c r="E113" i="18"/>
  <c r="G113" i="18"/>
  <c r="V113" i="18" s="1"/>
  <c r="H113" i="18"/>
  <c r="B112" i="18"/>
  <c r="I135" i="17" s="1"/>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20" i="17" l="1"/>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2" i="18"/>
  <c r="I190" i="18"/>
  <c r="I188" i="18"/>
  <c r="I186" i="18"/>
  <c r="I182" i="18"/>
  <c r="I168" i="18"/>
  <c r="J155" i="18"/>
  <c r="J157" i="18"/>
  <c r="I209" i="18"/>
  <c r="J153" i="18"/>
  <c r="I205" i="18"/>
  <c r="J158" i="18"/>
  <c r="I210" i="18"/>
  <c r="J154" i="18"/>
  <c r="I206" i="18"/>
  <c r="J156" i="18"/>
  <c r="U162" i="18"/>
  <c r="U134" i="18"/>
  <c r="J121" i="18"/>
  <c r="J119" i="18"/>
  <c r="I177" i="18"/>
  <c r="J117" i="18"/>
  <c r="I175" i="18"/>
  <c r="J115" i="18"/>
  <c r="I173" i="18"/>
  <c r="J112" i="18"/>
  <c r="I170" i="18"/>
  <c r="J114" i="18"/>
  <c r="I172" i="18"/>
  <c r="J113" i="18"/>
  <c r="I171" i="18"/>
  <c r="I165" i="18"/>
  <c r="I169" i="18"/>
  <c r="I166" i="18"/>
  <c r="I167" i="18"/>
  <c r="I164" i="18"/>
  <c r="J120" i="18"/>
  <c r="I178" i="18"/>
  <c r="J118" i="18"/>
  <c r="I176" i="18"/>
  <c r="J116" i="18"/>
  <c r="J151" i="18"/>
  <c r="J149" i="18"/>
  <c r="J147" i="18"/>
  <c r="J145" i="18"/>
  <c r="I203" i="18"/>
  <c r="J143" i="18"/>
  <c r="J141" i="18"/>
  <c r="J139" i="18"/>
  <c r="I197" i="18"/>
  <c r="J137" i="18"/>
  <c r="I195" i="18"/>
  <c r="J135" i="18"/>
  <c r="I193" i="18"/>
  <c r="J133" i="18"/>
  <c r="I191"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I194" i="18"/>
  <c r="I18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I207"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I174"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N139" i="18"/>
  <c r="X139" i="18" s="1"/>
  <c r="N158" i="18"/>
  <c r="X158" i="18" s="1"/>
  <c r="N165" i="18"/>
  <c r="X165" i="18" s="1"/>
  <c r="N126" i="18"/>
  <c r="X126" i="18" s="1"/>
  <c r="N167" i="18"/>
  <c r="X167" i="18" s="1"/>
  <c r="N115" i="18"/>
  <c r="X115" i="18"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22" i="19" l="1"/>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D7"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L56" i="19"/>
  <c r="M56" i="19"/>
  <c r="N56" i="19"/>
  <c r="L57" i="19"/>
  <c r="M57" i="19"/>
  <c r="N57" i="19"/>
  <c r="L58" i="19"/>
  <c r="M58" i="19"/>
  <c r="N58" i="19"/>
  <c r="L59" i="19"/>
  <c r="M59" i="19"/>
  <c r="N59" i="19"/>
  <c r="L60" i="19"/>
  <c r="M60" i="19"/>
  <c r="N60"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W24" i="20" s="1"/>
  <c r="M24" i="20"/>
  <c r="L25" i="20"/>
  <c r="M25" i="20"/>
  <c r="L26" i="20"/>
  <c r="M26" i="20"/>
  <c r="L27" i="20"/>
  <c r="V27" i="20" s="1"/>
  <c r="M27" i="20"/>
  <c r="L28" i="20"/>
  <c r="M28" i="20"/>
  <c r="L29" i="20"/>
  <c r="X29" i="20" s="1"/>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X21" i="20" s="1"/>
  <c r="E45" i="13"/>
  <c r="G527" i="19"/>
  <c r="H527" i="19"/>
  <c r="I527" i="19"/>
  <c r="J527" i="19"/>
  <c r="N527" i="19"/>
  <c r="G528" i="19"/>
  <c r="H528" i="19"/>
  <c r="I528" i="19"/>
  <c r="J528" i="19"/>
  <c r="N528" i="19"/>
  <c r="G529" i="19"/>
  <c r="H529" i="19"/>
  <c r="I529" i="19"/>
  <c r="J529" i="19"/>
  <c r="N529" i="19"/>
  <c r="G530" i="19"/>
  <c r="H530" i="19"/>
  <c r="I530" i="19"/>
  <c r="J530" i="19"/>
  <c r="N530" i="19"/>
  <c r="G531" i="19"/>
  <c r="H531" i="19"/>
  <c r="I531" i="19"/>
  <c r="J531" i="19"/>
  <c r="N531" i="19"/>
  <c r="G532" i="19"/>
  <c r="H532" i="19"/>
  <c r="I532" i="19"/>
  <c r="J532" i="19"/>
  <c r="N532" i="19"/>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I522" i="19"/>
  <c r="J522" i="19"/>
  <c r="N522" i="19"/>
  <c r="G523" i="19"/>
  <c r="H523" i="19"/>
  <c r="I523" i="19"/>
  <c r="J523" i="19"/>
  <c r="N523" i="19"/>
  <c r="G524" i="19"/>
  <c r="H524" i="19"/>
  <c r="I524" i="19"/>
  <c r="J524" i="19"/>
  <c r="N524" i="19"/>
  <c r="G525" i="19"/>
  <c r="H525" i="19"/>
  <c r="I525" i="19"/>
  <c r="J525" i="19"/>
  <c r="N525" i="19"/>
  <c r="G526" i="19"/>
  <c r="H526" i="19"/>
  <c r="I526" i="19"/>
  <c r="J526" i="19"/>
  <c r="N526" i="19"/>
  <c r="E522" i="19"/>
  <c r="L522" i="19" s="1"/>
  <c r="E523" i="19"/>
  <c r="L523" i="19" s="1"/>
  <c r="E524" i="19"/>
  <c r="L524" i="19" s="1"/>
  <c r="E525" i="19"/>
  <c r="L525" i="19" s="1"/>
  <c r="E526" i="19"/>
  <c r="L526" i="19" s="1"/>
  <c r="E527" i="19"/>
  <c r="L527" i="19" s="1"/>
  <c r="E528" i="19"/>
  <c r="L528" i="19" s="1"/>
  <c r="E529" i="19"/>
  <c r="L529" i="19" s="1"/>
  <c r="E530" i="19"/>
  <c r="L530" i="19" s="1"/>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R120" i="20" l="1"/>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R30" i="20"/>
  <c r="S29" i="20"/>
  <c r="O29" i="20"/>
  <c r="R29" i="20"/>
  <c r="R28" i="20"/>
  <c r="O28" i="20"/>
  <c r="S28" i="20"/>
  <c r="S27" i="20"/>
  <c r="O27" i="20"/>
  <c r="R27" i="20"/>
  <c r="R26" i="20"/>
  <c r="S26" i="20"/>
  <c r="O26" i="20"/>
  <c r="R25" i="20"/>
  <c r="O25" i="20"/>
  <c r="S25" i="20"/>
  <c r="O24" i="20"/>
  <c r="R24" i="20"/>
  <c r="S24" i="20"/>
  <c r="S23"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R21" i="20"/>
  <c r="O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21"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8" i="20"/>
  <c r="W28" i="20"/>
  <c r="V24" i="20"/>
  <c r="X24"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V21"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W30" i="20"/>
  <c r="X30" i="20"/>
  <c r="V30" i="20"/>
  <c r="W26" i="20"/>
  <c r="X26"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28"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V29" i="20"/>
  <c r="W29" i="20"/>
  <c r="X27" i="20"/>
  <c r="W27" i="20"/>
  <c r="V25" i="20"/>
  <c r="W25" i="20"/>
  <c r="X25"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V26"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170" i="3" l="1"/>
  <c r="I170" i="3" s="1"/>
  <c r="G58" i="3"/>
  <c r="I58" i="3" s="1"/>
  <c r="G59" i="3"/>
  <c r="F170" i="3"/>
  <c r="F58" i="3"/>
  <c r="F59" i="3"/>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H59" i="3"/>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E276" i="3"/>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L78"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70" i="13"/>
  <c r="L63" i="13"/>
  <c r="K63" i="13"/>
  <c r="K158" i="13"/>
  <c r="I63" i="13"/>
  <c r="J70" i="13"/>
  <c r="J63" i="13"/>
  <c r="I70" i="13"/>
  <c r="I51" i="13"/>
  <c r="L180" i="13"/>
  <c r="K132" i="13"/>
  <c r="K187" i="13"/>
  <c r="I78" i="13"/>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90"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L89"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J147" i="13"/>
  <c r="L147" i="13" s="1"/>
  <c r="I146" i="13"/>
  <c r="L145" i="13"/>
  <c r="L116" i="13"/>
  <c r="K108" i="13"/>
  <c r="I121" i="13"/>
  <c r="I114" i="13"/>
  <c r="N119" i="13"/>
  <c r="I89" i="13"/>
  <c r="L146" i="13"/>
  <c r="K124" i="13"/>
  <c r="J107" i="13"/>
  <c r="J73" i="13"/>
  <c r="K147" i="13"/>
  <c r="J146" i="13"/>
  <c r="L144"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L87" i="13"/>
  <c r="J77" i="13"/>
  <c r="J92" i="13"/>
  <c r="I64" i="13"/>
  <c r="I74" i="13"/>
  <c r="K64" i="13"/>
  <c r="N64" i="13"/>
  <c r="K92" i="13"/>
  <c r="I72" i="13"/>
  <c r="I81" i="13"/>
  <c r="K74" i="13"/>
  <c r="L77" i="13"/>
  <c r="L92" i="13"/>
  <c r="K72" i="13"/>
  <c r="J68" i="13"/>
  <c r="L72" i="13"/>
  <c r="K65" i="13"/>
  <c r="L88" i="13"/>
  <c r="J87" i="13"/>
  <c r="K60" i="13"/>
  <c r="I57" i="13"/>
  <c r="I50" i="13"/>
  <c r="L69" i="13"/>
  <c r="J69" i="13"/>
  <c r="I60" i="13"/>
  <c r="I66" i="13"/>
  <c r="I88" i="13"/>
  <c r="K66" i="13"/>
  <c r="J50" i="13"/>
  <c r="J88" i="13"/>
  <c r="I69" i="13"/>
  <c r="K50" i="13"/>
  <c r="N65" i="13"/>
  <c r="L47" i="13"/>
  <c r="F287" i="3" l="1"/>
  <c r="H287" i="3" s="1"/>
  <c r="E390" i="3" s="1"/>
  <c r="H58" i="3"/>
  <c r="E158" i="3" s="1"/>
  <c r="J57" i="13"/>
  <c r="L57" i="13"/>
  <c r="H170" i="3"/>
  <c r="J64" i="13"/>
  <c r="F171" i="3"/>
  <c r="H171" i="3" s="1"/>
  <c r="J67" i="13"/>
  <c r="L67" i="13" s="1"/>
  <c r="J84" i="13"/>
  <c r="J93" i="13" s="1"/>
  <c r="L108" i="13"/>
  <c r="L84" i="13"/>
  <c r="L93" i="13" s="1"/>
  <c r="L119" i="13"/>
  <c r="L64"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U26" i="20"/>
  <c r="U21"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U29" i="20"/>
  <c r="U25"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U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U30" i="20"/>
  <c r="T30" i="20"/>
  <c r="T22"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U24"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E563" i="19"/>
  <c r="E572" i="19"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55" i="19"/>
  <c r="D25" i="20" s="1"/>
  <c r="O56" i="19"/>
  <c r="D26" i="20" s="1"/>
  <c r="O57" i="19"/>
  <c r="D27" i="20" s="1"/>
  <c r="O58" i="19"/>
  <c r="D28" i="20" s="1"/>
  <c r="O59" i="19"/>
  <c r="D29" i="20" s="1"/>
  <c r="O60" i="19"/>
  <c r="D3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D154" i="26" l="1"/>
  <c r="E165" i="26" s="1"/>
  <c r="F166" i="26" s="1"/>
  <c r="F191" i="3"/>
  <c r="H191" i="3" s="1"/>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P168" i="19" l="1"/>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K286" i="19" l="1"/>
  <c r="O51" i="19"/>
  <c r="K403" i="19"/>
  <c r="L151" i="19"/>
  <c r="K169" i="19"/>
  <c r="N151" i="19"/>
  <c r="M151" i="19"/>
  <c r="K168" i="19"/>
  <c r="N168" i="19" s="1"/>
  <c r="Q168" i="19" s="1"/>
  <c r="C9" i="53"/>
  <c r="K402" i="19"/>
  <c r="N402" i="19" s="1"/>
  <c r="K285" i="19"/>
  <c r="C25" i="53" l="1"/>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I25" i="20"/>
  <c r="H26" i="20"/>
  <c r="F27" i="20"/>
  <c r="F28" i="20"/>
  <c r="F29" i="20"/>
  <c r="H30" i="20"/>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J30" i="20"/>
  <c r="G26" i="20"/>
  <c r="F23" i="20"/>
  <c r="V23" i="20" s="1"/>
  <c r="G130" i="20"/>
  <c r="F130" i="20"/>
  <c r="H130" i="20"/>
  <c r="K130" i="20"/>
  <c r="I130" i="20"/>
  <c r="H35" i="20"/>
  <c r="K35" i="20"/>
  <c r="F26" i="20"/>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H29" i="20"/>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H28" i="20"/>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I26" i="20"/>
  <c r="H21" i="20"/>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F565" i="19" s="1"/>
  <c r="F66" i="12" s="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F574" i="19" l="1"/>
  <c r="G564" i="19"/>
  <c r="G573" i="19" s="1"/>
  <c r="G571" i="19" s="1"/>
  <c r="E564" i="19"/>
  <c r="E573" i="19" s="1"/>
  <c r="X221" i="20"/>
  <c r="D62" i="12"/>
  <c r="E62" i="12"/>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F563" i="19" s="1"/>
  <c r="F572" i="19" s="1"/>
  <c r="O121" i="20"/>
  <c r="F564" i="19" s="1"/>
  <c r="F573" i="19" s="1"/>
  <c r="H121" i="20"/>
  <c r="G560" i="19" s="1"/>
  <c r="G569" i="19" s="1"/>
  <c r="I49" i="12" s="1"/>
  <c r="I17" i="12" s="1"/>
  <c r="U121" i="20"/>
  <c r="G121" i="20"/>
  <c r="T121" i="20"/>
  <c r="F121" i="20"/>
  <c r="T123" i="20"/>
  <c r="O53" i="19"/>
  <c r="D23" i="20" s="1"/>
  <c r="G23" i="20" s="1"/>
  <c r="W23" i="20" s="1"/>
  <c r="O52" i="19"/>
  <c r="O54" i="19"/>
  <c r="D24" i="20" s="1"/>
  <c r="F571" i="19" l="1"/>
  <c r="F62" i="12"/>
  <c r="H49" i="12"/>
  <c r="W121" i="20"/>
  <c r="F561" i="19"/>
  <c r="V121" i="20"/>
  <c r="E561" i="19"/>
  <c r="X121" i="20"/>
  <c r="G561" i="19"/>
  <c r="H64" i="12"/>
  <c r="G562" i="19"/>
  <c r="I64" i="12"/>
  <c r="E64" i="12"/>
  <c r="O151" i="19"/>
  <c r="G62" i="12"/>
  <c r="H572" i="19"/>
  <c r="D22" i="20"/>
  <c r="S22" i="20" s="1"/>
  <c r="E565" i="19" s="1"/>
  <c r="H23" i="20"/>
  <c r="X23" i="20" s="1"/>
  <c r="I66" i="12" s="1"/>
  <c r="H421" i="20"/>
  <c r="T24" i="20"/>
  <c r="F24" i="20"/>
  <c r="U23" i="20"/>
  <c r="D21" i="20"/>
  <c r="F21" i="20" s="1"/>
  <c r="E560" i="19" s="1"/>
  <c r="E569" i="19" s="1"/>
  <c r="E49" i="12" s="1"/>
  <c r="G17" i="12" s="1"/>
  <c r="E574" i="19" l="1"/>
  <c r="E571" i="19" s="1"/>
  <c r="H571" i="19" s="1"/>
  <c r="D66" i="12"/>
  <c r="E562" i="19"/>
  <c r="G22" i="20"/>
  <c r="W22" i="20" s="1"/>
  <c r="F22" i="20"/>
  <c r="V22" i="20" s="1"/>
  <c r="G570" i="19"/>
  <c r="G261" i="25"/>
  <c r="E570" i="19"/>
  <c r="E261" i="25"/>
  <c r="F570" i="19"/>
  <c r="F261" i="25"/>
  <c r="I19" i="12"/>
  <c r="G64" i="12"/>
  <c r="F562" i="19"/>
  <c r="G66" i="12"/>
  <c r="D64" i="12"/>
  <c r="J62" i="12"/>
  <c r="G21" i="20"/>
  <c r="F560" i="19" s="1"/>
  <c r="F569" i="19" s="1"/>
  <c r="F19" i="12"/>
  <c r="U22" i="20"/>
  <c r="U421" i="20" s="1"/>
  <c r="O421" i="20"/>
  <c r="G421" i="20"/>
  <c r="D49" i="12"/>
  <c r="F64" i="12"/>
  <c r="E19" i="12" s="1"/>
  <c r="R421" i="20"/>
  <c r="S421" i="20"/>
  <c r="E66" i="12" l="1"/>
  <c r="G19" i="12" s="1"/>
  <c r="F260" i="25"/>
  <c r="F57" i="12"/>
  <c r="F268" i="25"/>
  <c r="G57" i="12" s="1"/>
  <c r="D57" i="12"/>
  <c r="E268" i="25"/>
  <c r="E260" i="25"/>
  <c r="H570" i="19"/>
  <c r="G260" i="25"/>
  <c r="H57" i="12"/>
  <c r="G268" i="25"/>
  <c r="I57" i="12" s="1"/>
  <c r="H573" i="19"/>
  <c r="H19" i="12"/>
  <c r="D19" i="12"/>
  <c r="H574" i="19"/>
  <c r="J64" i="12"/>
  <c r="H569" i="19"/>
  <c r="G49" i="12"/>
  <c r="F49" i="12"/>
  <c r="T21" i="20"/>
  <c r="F421" i="20"/>
  <c r="J66" i="12" l="1"/>
  <c r="J59" i="12" s="1"/>
  <c r="H575" i="19"/>
  <c r="E267" i="25"/>
  <c r="E259" i="25"/>
  <c r="D56" i="12"/>
  <c r="D18" i="12" s="1"/>
  <c r="H268" i="25"/>
  <c r="E57" i="12"/>
  <c r="J57" i="12" s="1"/>
  <c r="G259" i="25"/>
  <c r="G267" i="25"/>
  <c r="H56" i="12"/>
  <c r="F259" i="25"/>
  <c r="F56" i="12"/>
  <c r="E18" i="12" s="1"/>
  <c r="F267" i="25"/>
  <c r="H17" i="12"/>
  <c r="J17" i="12" s="1"/>
  <c r="J19" i="12"/>
  <c r="J49" i="12"/>
  <c r="T421" i="20"/>
  <c r="L66" i="12" l="1"/>
  <c r="L62" i="12"/>
  <c r="L49" i="12"/>
  <c r="L57" i="12" s="1"/>
  <c r="L64" i="12"/>
  <c r="I56" i="12"/>
  <c r="I18" i="12" s="1"/>
  <c r="I20" i="12" s="1"/>
  <c r="I22" i="12" s="1"/>
  <c r="G266" i="25"/>
  <c r="F266" i="25"/>
  <c r="G56" i="12"/>
  <c r="H18" i="12" s="1"/>
  <c r="H20" i="12" s="1"/>
  <c r="H22" i="12" s="1"/>
  <c r="F18" i="12"/>
  <c r="E266" i="25"/>
  <c r="E56" i="12"/>
  <c r="H267" i="25"/>
  <c r="D50" i="12"/>
  <c r="F50" i="12"/>
  <c r="H50" i="12"/>
  <c r="H266" i="25" l="1"/>
  <c r="G18" i="12"/>
  <c r="J56" i="12"/>
  <c r="J55" i="12" s="1"/>
  <c r="J50" i="12"/>
  <c r="J47" i="12" s="1"/>
  <c r="L56" i="12" l="1"/>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<sst xmlns="http://schemas.openxmlformats.org/spreadsheetml/2006/main" count="2843" uniqueCount="1650">
  <si>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</si>
  <si>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</si>
  <si>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</si>
  <si>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</si>
  <si>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</si>
  <si>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</si>
  <si>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</si>
  <si>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</si>
  <si>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</si>
  <si>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</si>
  <si>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</si>
  <si>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</si>
  <si>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</si>
  <si>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</si>
  <si>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</si>
  <si>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</si>
  <si>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</si>
  <si>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</si>
  <si>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</si>
  <si>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</si>
  <si>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</si>
  <si>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</si>
  <si>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</si>
  <si>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</si>
  <si>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</si>
  <si>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</si>
  <si>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</si>
  <si>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</si>
  <si>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</si>
  <si>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</si>
  <si>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</si>
  <si>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</si>
  <si>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</si>
  <si>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</si>
  <si>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</si>
  <si>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</si>
  <si>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</si>
  <si>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</si>
  <si>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</si>
  <si>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</si>
  <si>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</si>
  <si>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</si>
  <si>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</si>
  <si>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</si>
  <si>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</si>
  <si>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</si>
  <si>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</si>
  <si>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</si>
  <si>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</si>
  <si>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</si>
  <si>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</si>
  <si>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</si>
  <si>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</si>
  <si>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</si>
  <si>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</si>
  <si>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</si>
  <si>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</si>
  <si>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</si>
  <si>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</si>
  <si>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</si>
  <si>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</si>
  <si>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</si>
  <si>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</si>
  <si>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</si>
  <si>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</si>
  <si>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</si>
  <si>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</si>
  <si>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</si>
  <si>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</si>
  <si>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</si>
  <si>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</si>
  <si>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</si>
  <si>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</si>
  <si>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</si>
  <si>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</si>
  <si>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</si>
  <si>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</si>
  <si>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</si>
  <si>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</si>
  <si>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</si>
  <si>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</si>
  <si>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</si>
  <si>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</si>
  <si>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</si>
  <si>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</si>
  <si>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</si>
  <si>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</si>
  <si>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</si>
  <si>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</si>
  <si>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</si>
  <si>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</si>
  <si>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</si>
  <si>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</si>
  <si>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</si>
  <si>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</si>
  <si>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</si>
  <si>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</si>
  <si>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</si>
  <si>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</si>
  <si>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</si>
  <si>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</si>
  <si>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</si>
  <si>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</si>
  <si>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</si>
  <si>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</si>
  <si>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</si>
  <si>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</si>
  <si>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</si>
  <si>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</si>
  <si>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</si>
  <si>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</si>
  <si>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</si>
  <si>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</si>
  <si>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</si>
  <si>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</si>
  <si>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</si>
  <si>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</si>
  <si>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</si>
  <si>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</si>
  <si>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</si>
  <si>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</si>
  <si>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</si>
  <si>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</si>
  <si>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</si>
  <si>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</si>
  <si>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</si>
  <si>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</si>
  <si>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</si>
  <si>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</si>
  <si>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</si>
  <si>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</si>
  <si>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</si>
  <si>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</si>
  <si>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</si>
  <si>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</si>
  <si>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</si>
  <si>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</si>
  <si>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</si>
  <si>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</si>
  <si>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</si>
  <si>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</si>
  <si>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</si>
  <si>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</si>
  <si>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</si>
  <si>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</si>
  <si>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</si>
  <si>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</si>
  <si>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</si>
  <si>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</si>
  <si>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</si>
  <si>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</si>
  <si>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</si>
  <si>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</si>
  <si>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</si>
  <si>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</si>
  <si>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</si>
  <si>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</si>
  <si>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</si>
  <si>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</si>
  <si>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</si>
  <si>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</si>
  <si>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</si>
  <si>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</si>
  <si>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</si>
  <si>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</si>
  <si>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</si>
  <si>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</si>
  <si>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</si>
  <si>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</si>
  <si>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</si>
  <si>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</si>
  <si>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</si>
  <si>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</si>
  <si>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</si>
  <si>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</si>
  <si>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</si>
  <si>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</si>
  <si>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</si>
  <si>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</si>
  <si>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</si>
  <si>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</si>
  <si>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</si>
  <si>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</si>
  <si>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</si>
  <si>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</si>
  <si>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</si>
  <si>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</si>
  <si>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</si>
  <si>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</si>
  <si>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</si>
  <si>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</si>
  <si>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</si>
  <si>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</si>
  <si>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</si>
  <si>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</si>
  <si>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</si>
  <si>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</si>
  <si>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</si>
  <si>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</si>
  <si>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</si>
  <si>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</si>
  <si>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</si>
  <si>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</si>
  <si>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</si>
  <si>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</si>
  <si>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</si>
  <si>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</si>
  <si>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</si>
  <si>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</si>
  <si>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</si>
  <si>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</si>
  <si>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</si>
  <si>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</si>
  <si>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</si>
  <si>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</si>
  <si>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</si>
  <si>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</si>
  <si>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</si>
  <si>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</si>
  <si>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</si>
  <si>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</si>
  <si>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</si>
  <si>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</si>
  <si>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</si>
  <si>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</si>
  <si>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</si>
  <si>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</si>
  <si>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</si>
  <si>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</si>
  <si>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</si>
  <si>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</si>
  <si>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</si>
  <si>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</si>
  <si>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</si>
  <si>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</si>
  <si>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</si>
  <si>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</si>
  <si>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</si>
  <si>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</si>
  <si>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</si>
  <si>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</si>
  <si>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</si>
  <si>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</si>
  <si>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</si>
  <si>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</si>
  <si>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</si>
  <si>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</si>
  <si>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</si>
  <si>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</si>
  <si>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</si>
  <si>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</si>
  <si>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</si>
  <si>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</si>
  <si>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</si>
  <si>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</si>
  <si>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</si>
  <si>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</si>
  <si>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</si>
  <si>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</si>
  <si>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</si>
  <si>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</si>
  <si>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</si>
  <si>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</si>
  <si>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</si>
  <si>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</si>
  <si>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</si>
  <si>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</si>
  <si>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</si>
  <si>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</si>
  <si>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</si>
  <si>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</si>
  <si>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</si>
  <si>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</si>
  <si>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</si>
  <si>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</si>
  <si>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</si>
  <si>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</si>
  <si>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</si>
  <si>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</si>
  <si>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</si>
  <si>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</si>
  <si>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</si>
  <si>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</si>
  <si>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</si>
  <si>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</si>
  <si>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</si>
  <si>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</si>
  <si>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</si>
  <si>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</si>
  <si>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</si>
  <si>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</si>
  <si>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</si>
  <si>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</si>
  <si>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</si>
  <si>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</si>
  <si>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</si>
  <si>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</si>
  <si>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</si>
  <si>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</si>
  <si>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</si>
  <si>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</si>
  <si>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</si>
  <si>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</si>
  <si>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</si>
  <si>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</si>
  <si>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</si>
  <si>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</si>
  <si>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</si>
  <si>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</si>
  <si>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</si>
  <si>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</si>
  <si>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</si>
  <si>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</si>
  <si>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</si>
  <si>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</si>
  <si>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</si>
  <si>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</si>
  <si>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</si>
  <si>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</si>
  <si>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</si>
  <si>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</si>
  <si>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</si>
  <si>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</si>
  <si>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</si>
  <si>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</si>
  <si>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</si>
  <si>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</si>
  <si>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</si>
  <si>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</si>
  <si>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</si>
  <si>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</si>
  <si>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</si>
  <si>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</si>
  <si>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</si>
  <si>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</si>
  <si>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</si>
  <si>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</si>
  <si>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</si>
  <si>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</si>
  <si>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</si>
  <si>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</si>
  <si>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</si>
  <si>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</si>
  <si>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</si>
  <si>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</si>
  <si>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</si>
  <si>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</si>
  <si>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</si>
  <si>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</si>
  <si>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</si>
  <si>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</si>
  <si>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</si>
  <si>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</si>
  <si>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</si>
  <si>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</si>
  <si>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</si>
  <si>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</si>
  <si>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</si>
  <si>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</si>
  <si>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</si>
  <si>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</si>
  <si>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</si>
  <si>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</si>
  <si>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</si>
  <si>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</si>
  <si>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</si>
  <si>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</si>
  <si>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</si>
  <si>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</si>
  <si>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</si>
  <si>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</si>
  <si>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</si>
  <si>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</si>
  <si>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</si>
  <si>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</si>
  <si>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</si>
  <si>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</si>
  <si>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</si>
  <si>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</si>
  <si>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</si>
  <si>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</si>
  <si>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</si>
  <si>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</si>
  <si>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</si>
  <si>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</si>
  <si>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</si>
  <si>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</si>
  <si>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</si>
  <si>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</si>
  <si>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</si>
  <si>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</si>
  <si>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</si>
  <si>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</si>
  <si>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</si>
  <si>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</si>
  <si>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</si>
  <si>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</si>
  <si>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</si>
  <si>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</si>
  <si>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</si>
  <si>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</si>
  <si>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</si>
  <si>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</si>
  <si>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</si>
  <si>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</si>
  <si>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</si>
  <si>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</si>
  <si>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</si>
  <si>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</si>
  <si>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</si>
  <si>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</si>
  <si>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</si>
  <si>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</si>
  <si>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</si>
  <si>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</si>
  <si>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</si>
  <si>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</si>
  <si>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</si>
  <si>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</si>
  <si>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</si>
  <si>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</si>
  <si>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</si>
  <si>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</si>
  <si>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</si>
  <si>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</si>
  <si>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</si>
  <si>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</si>
  <si>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</si>
  <si>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</si>
  <si>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</si>
  <si>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</si>
  <si>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</si>
  <si>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</si>
  <si>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</si>
  <si>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</si>
  <si>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</si>
  <si>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</si>
  <si>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</si>
  <si>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</si>
  <si>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</si>
  <si>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</si>
  <si>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</si>
  <si>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</si>
  <si>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</si>
  <si>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</si>
  <si>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</si>
  <si>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</si>
  <si>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</si>
  <si>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</si>
  <si>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</si>
  <si>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</si>
  <si>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</si>
  <si>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</si>
  <si>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</si>
  <si>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</si>
  <si>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</si>
  <si>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</si>
  <si>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</si>
  <si>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</si>
  <si>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</si>
  <si>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</si>
  <si>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</si>
  <si>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</si>
  <si>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</si>
  <si>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</si>
  <si>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</si>
  <si>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</si>
  <si>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</si>
  <si>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</si>
  <si>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</si>
  <si>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</si>
  <si>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</si>
  <si>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</si>
  <si>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</si>
  <si>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</si>
  <si>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</si>
  <si>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</si>
  <si>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</si>
  <si>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</si>
  <si>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</si>
  <si>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</si>
  <si>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</si>
  <si>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</si>
  <si>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</si>
  <si>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</si>
  <si>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</si>
  <si>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</si>
  <si>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</si>
  <si>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</si>
  <si>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</si>
  <si>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</si>
  <si>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</si>
  <si>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</si>
  <si>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</si>
  <si>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</si>
  <si>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</si>
  <si>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</si>
  <si>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</si>
  <si>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</si>
  <si>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</si>
  <si>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</si>
  <si>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</si>
  <si>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</si>
  <si>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</si>
  <si>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</si>
  <si>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</si>
  <si>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</si>
  <si>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</si>
  <si>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</si>
  <si>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</si>
  <si>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</si>
  <si>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</si>
  <si>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</si>
  <si>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</si>
  <si>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</si>
  <si>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</si>
  <si>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</si>
  <si>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</si>
  <si>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</si>
  <si>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</si>
  <si>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</si>
  <si>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</si>
  <si>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</si>
  <si>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</si>
  <si>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</si>
  <si>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</si>
  <si>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</si>
  <si>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</si>
  <si>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</si>
  <si>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</si>
  <si>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</si>
  <si>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</si>
  <si>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</si>
  <si>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</si>
  <si>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</si>
  <si>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</si>
  <si>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</si>
  <si>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</si>
  <si>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</si>
  <si>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</si>
  <si>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</si>
  <si>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</si>
  <si>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</si>
  <si>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</si>
  <si>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</si>
  <si>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</si>
  <si>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</si>
  <si>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</si>
  <si>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</si>
  <si>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</si>
  <si>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</si>
  <si>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</si>
  <si>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</si>
  <si>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</si>
  <si>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</si>
  <si>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</si>
  <si>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</si>
  <si>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</si>
  <si>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</si>
  <si>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</si>
  <si>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</si>
  <si>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</si>
  <si>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</si>
  <si>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</si>
  <si>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</si>
  <si>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</si>
  <si>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</si>
  <si>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</si>
  <si>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</si>
  <si>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</si>
  <si>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</si>
  <si>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</si>
  <si>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</si>
  <si>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</si>
  <si>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</si>
  <si>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</si>
  <si>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</si>
  <si>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</si>
  <si>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</si>
  <si>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</si>
  <si>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</si>
  <si>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</si>
  <si>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</si>
  <si>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</si>
  <si>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</si>
  <si>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</si>
  <si>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</si>
  <si>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</si>
  <si>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</si>
  <si>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</si>
  <si>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</si>
  <si>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</si>
  <si>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</si>
  <si>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</si>
  <si>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</si>
  <si>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</si>
  <si>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</si>
  <si>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</si>
  <si>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</si>
  <si>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</si>
  <si>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</si>
  <si>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</si>
  <si>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</si>
  <si>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</si>
  <si>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</si>
  <si>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</si>
  <si>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</si>
  <si>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</si>
  <si>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</si>
  <si>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</si>
  <si>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</si>
  <si>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</si>
  <si>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</si>
  <si>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</si>
  <si>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</si>
  <si>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</si>
  <si>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</si>
  <si>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</si>
  <si>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</si>
  <si>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</si>
  <si>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</si>
  <si>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</si>
  <si>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</si>
  <si>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</si>
  <si>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</si>
  <si>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</si>
  <si>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</si>
  <si>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</si>
  <si>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</si>
  <si>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</si>
  <si>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</si>
  <si>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</si>
  <si>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</si>
  <si>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</si>
  <si>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</si>
  <si>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</si>
  <si>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</si>
  <si>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</si>
  <si>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</si>
  <si>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</si>
  <si>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</si>
  <si>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</si>
  <si>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</si>
  <si>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</si>
  <si>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</si>
  <si>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</si>
  <si>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</si>
  <si>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</si>
  <si>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</si>
  <si>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</si>
  <si>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</si>
  <si>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</si>
  <si>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</si>
  <si>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</si>
  <si>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</si>
  <si>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</si>
  <si>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</si>
  <si>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</si>
  <si>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</si>
  <si>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</si>
  <si>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</si>
  <si>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</si>
  <si>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</si>
  <si>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</si>
  <si>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</si>
  <si>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</si>
  <si>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</si>
  <si>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</si>
  <si>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</si>
  <si>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</si>
  <si>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</si>
  <si>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</si>
  <si>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</si>
  <si>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</si>
  <si>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</si>
  <si>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</si>
  <si>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</si>
  <si>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</si>
  <si>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</si>
  <si>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</si>
  <si>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</si>
  <si>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</si>
  <si>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</si>
  <si>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</si>
  <si>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</si>
  <si>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</si>
  <si>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</si>
  <si>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</si>
  <si>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</si>
  <si>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</si>
  <si>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</si>
  <si>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</si>
  <si>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</si>
  <si>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</si>
  <si>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</si>
  <si>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</si>
  <si>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</si>
  <si>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</si>
  <si>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</si>
  <si>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</si>
  <si>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</si>
  <si>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</si>
  <si>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</si>
  <si>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</si>
  <si>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</si>
  <si>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</si>
  <si>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</si>
  <si>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</si>
  <si>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</si>
  <si>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</si>
  <si>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</si>
  <si>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</si>
  <si>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</si>
  <si>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</si>
  <si>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</si>
  <si>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</si>
  <si>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</si>
  <si>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</si>
  <si>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</si>
  <si>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</si>
  <si>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</si>
  <si>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</si>
  <si>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</si>
  <si>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</si>
  <si>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</si>
  <si>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</si>
  <si>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</si>
  <si>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</si>
  <si>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</si>
  <si>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</si>
  <si>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</si>
  <si>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</si>
  <si>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</si>
  <si>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</si>
  <si>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</si>
  <si>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</si>
  <si>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</si>
  <si>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</si>
  <si>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</si>
  <si>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</si>
  <si>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</si>
  <si>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</si>
  <si>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</si>
  <si>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</si>
  <si>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</si>
  <si>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</si>
  <si>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</si>
  <si>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</si>
  <si>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</si>
  <si>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</si>
  <si>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</si>
  <si>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</si>
  <si>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</si>
  <si>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</si>
  <si>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</si>
  <si>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</si>
  <si>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</si>
  <si>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</si>
  <si>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</si>
  <si>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</si>
  <si>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</si>
  <si>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</si>
  <si>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</si>
  <si>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</si>
  <si>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</si>
  <si>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</si>
  <si>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</si>
  <si>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</si>
  <si>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</si>
  <si>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</si>
  <si>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</si>
  <si>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</si>
  <si>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</si>
  <si>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</si>
  <si>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</si>
  <si>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</si>
  <si>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</si>
  <si>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</si>
  <si>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</si>
  <si>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</si>
  <si>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</si>
  <si>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</si>
  <si>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</si>
  <si>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</si>
  <si>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</si>
  <si>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</si>
  <si>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</si>
  <si>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</si>
  <si>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</si>
  <si>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</si>
  <si>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</si>
  <si>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</si>
  <si>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</si>
  <si>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</si>
  <si>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</si>
  <si>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</si>
  <si>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</si>
  <si>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</si>
  <si>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</si>
  <si>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</si>
  <si>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</si>
  <si>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</si>
  <si>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</si>
  <si>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</si>
  <si>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</si>
  <si>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</si>
  <si>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</si>
  <si>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</si>
  <si>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</si>
  <si>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</si>
  <si>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</si>
  <si>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</si>
  <si>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</si>
  <si>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</si>
  <si>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</si>
  <si>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</si>
  <si>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</si>
  <si>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</si>
  <si>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</si>
  <si>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</si>
  <si>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</si>
  <si>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</si>
  <si>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</si>
  <si>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</si>
  <si>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</si>
  <si>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</si>
  <si>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</si>
  <si>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</si>
  <si>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</si>
  <si>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</si>
  <si>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</si>
  <si>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</si>
  <si>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</si>
  <si>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</si>
  <si>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</si>
  <si>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</si>
  <si>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</si>
  <si>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</si>
  <si>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</si>
  <si>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</si>
  <si>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</si>
  <si>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</si>
  <si>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</si>
  <si>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</si>
  <si>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</si>
  <si>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</si>
  <si>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</si>
  <si>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</si>
  <si>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</si>
  <si>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</si>
  <si>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</si>
  <si>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</si>
  <si>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</si>
  <si>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</si>
  <si>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</si>
  <si>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</si>
  <si>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</si>
  <si>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</si>
  <si>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</si>
  <si>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</si>
  <si>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</si>
  <si>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</si>
  <si>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</si>
  <si>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</si>
  <si>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</si>
  <si>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</si>
  <si>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</si>
  <si>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</si>
  <si>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</si>
  <si>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</si>
  <si>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</si>
  <si>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</si>
  <si>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</si>
  <si>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</si>
  <si>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</si>
  <si>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</si>
  <si>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</si>
  <si>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</si>
  <si>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</si>
  <si>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</si>
  <si>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</si>
  <si>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</si>
  <si>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</si>
  <si>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</si>
  <si>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</si>
  <si>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</si>
  <si>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</si>
  <si>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</si>
  <si>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</si>
  <si>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</si>
  <si>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</si>
  <si>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</si>
  <si>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</si>
  <si>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</si>
  <si>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</si>
  <si>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</si>
  <si>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</si>
  <si>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</si>
  <si>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</si>
  <si>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</si>
  <si>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</si>
  <si>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</si>
  <si>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</si>
  <si>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</si>
  <si>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</si>
  <si>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</si>
  <si>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</si>
  <si>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</si>
  <si>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</si>
  <si>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</si>
  <si>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</si>
  <si>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</si>
  <si>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</si>
  <si>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</si>
  <si>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</si>
  <si>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</si>
  <si>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</si>
  <si>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</si>
  <si>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</si>
  <si>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</si>
  <si>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</si>
  <si>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</si>
  <si>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</si>
  <si>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</si>
  <si>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</si>
  <si>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</si>
  <si>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</si>
  <si>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</si>
  <si>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</si>
  <si>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</si>
  <si>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</si>
  <si>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</si>
  <si>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</si>
  <si>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</si>
  <si>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</si>
  <si>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</si>
  <si>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</si>
  <si>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</si>
  <si>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</si>
  <si>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</si>
  <si>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</si>
  <si>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</si>
  <si>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</si>
  <si>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</si>
  <si>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</si>
  <si>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</si>
  <si>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</si>
  <si>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</si>
  <si>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</si>
  <si>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</si>
  <si>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</si>
  <si>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</si>
  <si>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</si>
  <si>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</si>
  <si>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</si>
  <si>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</si>
  <si>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</si>
  <si>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</si>
  <si>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</si>
  <si>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</si>
  <si>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</si>
  <si>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</si>
  <si>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</si>
  <si>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</si>
  <si>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</si>
  <si>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</si>
  <si>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</si>
  <si>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</si>
  <si>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</si>
  <si>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</si>
  <si>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</si>
  <si>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</si>
  <si>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</si>
  <si>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</si>
  <si>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</si>
  <si>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</si>
  <si>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</si>
  <si>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</si>
  <si>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</si>
  <si>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</si>
  <si>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</si>
  <si>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</si>
  <si>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</si>
  <si>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</si>
  <si>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</si>
  <si>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</si>
  <si>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</si>
  <si>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</si>
  <si>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</si>
  <si>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</si>
  <si>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</si>
  <si>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</si>
  <si>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</si>
  <si>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</si>
  <si>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</si>
  <si>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</si>
  <si>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</si>
  <si>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</si>
  <si>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</si>
  <si>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</si>
  <si>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</si>
  <si>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</si>
  <si>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</si>
  <si>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</si>
  <si>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</si>
  <si>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</si>
  <si>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</si>
  <si>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</si>
  <si>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</si>
  <si>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</si>
  <si>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</si>
  <si>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</si>
  <si>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</si>
  <si>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</si>
  <si>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</si>
  <si>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</si>
  <si>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</si>
  <si>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</si>
  <si>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</si>
  <si>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</si>
  <si>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</si>
  <si>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</si>
  <si>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</si>
  <si>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</si>
  <si>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</si>
  <si>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</si>
  <si>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</si>
  <si>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</si>
  <si>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</si>
  <si>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</si>
  <si>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</si>
  <si>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</si>
  <si>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</si>
  <si>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</si>
  <si>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</si>
  <si>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</si>
  <si>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</si>
  <si>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</si>
  <si>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</si>
  <si>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</si>
  <si>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</si>
  <si>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</si>
  <si>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</si>
  <si>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</si>
  <si>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</si>
  <si>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</si>
  <si>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</si>
  <si>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</si>
  <si>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</si>
  <si>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</si>
  <si>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</si>
  <si>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</si>
  <si>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</si>
  <si>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</si>
  <si>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</si>
  <si>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</si>
  <si>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</si>
  <si>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</si>
  <si>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</si>
  <si>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</si>
  <si>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</si>
  <si>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</si>
  <si>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</si>
  <si>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</si>
  <si>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</si>
  <si>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</si>
  <si>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</si>
  <si>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</si>
  <si>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</si>
  <si>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</si>
  <si>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</si>
  <si>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</si>
  <si>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</si>
  <si>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</si>
  <si>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</si>
  <si>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</si>
  <si>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</si>
  <si>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</si>
  <si>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</si>
  <si>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</si>
  <si>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</si>
  <si>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</si>
  <si>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</si>
  <si>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</si>
  <si>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</si>
  <si>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</si>
  <si>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</si>
  <si>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</si>
  <si>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</si>
  <si>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</si>
  <si>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</si>
  <si>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</si>
  <si>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</si>
  <si>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</si>
  <si>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</si>
  <si>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</si>
  <si>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</si>
  <si>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</si>
  <si>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</si>
  <si>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</si>
  <si>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</si>
  <si>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</si>
  <si>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</si>
  <si>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</si>
  <si>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</si>
  <si>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</si>
  <si>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</si>
  <si>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</si>
  <si>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</si>
  <si>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</si>
  <si>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</si>
  <si>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</si>
  <si>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</si>
  <si>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</si>
  <si>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</si>
  <si>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</si>
  <si>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</si>
  <si>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</si>
  <si>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</si>
  <si>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</si>
  <si>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</si>
  <si>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</si>
  <si>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</si>
  <si>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</si>
  <si>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</si>
  <si>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</si>
  <si>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</si>
  <si>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</si>
  <si>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</si>
  <si>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</si>
  <si>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</si>
  <si>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</si>
  <si>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</si>
  <si>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</si>
  <si>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</si>
  <si>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</si>
  <si>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</si>
  <si>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</si>
  <si>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</si>
  <si>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</si>
  <si>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</si>
  <si>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</si>
  <si>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</si>
  <si>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</si>
  <si>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</si>
  <si>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</si>
  <si>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</si>
  <si>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</si>
  <si>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</si>
  <si>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</si>
  <si>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</si>
  <si>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</si>
  <si>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</si>
  <si>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</si>
  <si>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</si>
  <si>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</si>
  <si>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</si>
  <si>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</si>
  <si>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</si>
  <si>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</si>
  <si>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</si>
  <si>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</si>
  <si>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</si>
  <si>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</si>
  <si>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</si>
  <si>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</si>
  <si>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</si>
  <si>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</si>
  <si>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</si>
  <si>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</si>
  <si>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</si>
  <si>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</si>
  <si>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</si>
  <si>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</si>
  <si>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</si>
  <si>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</si>
  <si>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</si>
  <si>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</si>
  <si>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</si>
  <si>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</si>
  <si>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</si>
  <si>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</si>
  <si>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</si>
  <si>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</si>
  <si>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</si>
  <si>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</si>
  <si>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</si>
  <si>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</si>
  <si>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</si>
  <si>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</si>
  <si>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</si>
  <si>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</si>
  <si>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</si>
  <si>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</si>
  <si>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</si>
  <si>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</si>
  <si>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</si>
  <si>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</si>
  <si>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</si>
  <si>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</si>
  <si>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</si>
  <si>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</si>
  <si>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</si>
  <si>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</si>
  <si>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</si>
  <si>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</si>
  <si>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</si>
  <si>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</si>
  <si>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</si>
  <si>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</si>
  <si>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</si>
  <si>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</si>
  <si>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</si>
  <si>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</si>
  <si>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</si>
  <si>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</si>
  <si>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</si>
  <si>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</si>
  <si>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</si>
  <si>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</si>
  <si>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</si>
  <si>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</si>
  <si>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</si>
  <si>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</si>
  <si>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</si>
  <si>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</si>
  <si>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</si>
  <si>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</si>
  <si>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</si>
  <si>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</si>
  <si>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</si>
  <si>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</si>
  <si>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</si>
  <si>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</si>
  <si>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</si>
  <si>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</si>
  <si>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</si>
  <si>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</si>
  <si>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</si>
  <si>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</si>
  <si>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</si>
  <si>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</si>
  <si>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</si>
  <si>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</si>
  <si>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</si>
  <si>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</si>
  <si>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</si>
  <si>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</si>
  <si>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</si>
  <si>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</si>
  <si>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</si>
  <si>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</si>
  <si>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</si>
  <si>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</si>
  <si>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</si>
  <si>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</si>
  <si>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</si>
  <si>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</si>
  <si>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</si>
  <si>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</si>
  <si>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</si>
  <si>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</si>
  <si>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</si>
  <si>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</si>
  <si>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</si>
  <si>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</si>
  <si>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</si>
  <si>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</si>
  <si>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</si>
  <si>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</si>
  <si>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</si>
  <si>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</si>
  <si>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</si>
  <si>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</si>
  <si>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</si>
  <si>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</si>
  <si>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</si>
  <si>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</si>
  <si>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</si>
  <si>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</si>
  <si>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</si>
  <si>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</si>
  <si>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</si>
  <si>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</si>
  <si>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</si>
  <si>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</si>
  <si>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</si>
  <si>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</si>
  <si>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</si>
  <si>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</si>
  <si>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</si>
  <si>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</si>
  <si>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</si>
  <si>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</si>
  <si>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</si>
  <si>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</si>
  <si>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</si>
  <si>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</si>
  <si>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</si>
  <si>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</si>
  <si>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</si>
  <si>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</si>
  <si>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</si>
  <si>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</si>
  <si>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</si>
  <si>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</si>
  <si>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</si>
  <si>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</si>
  <si>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</si>
  <si>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</si>
  <si>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</si>
  <si>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</si>
  <si>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</si>
  <si>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</si>
  <si>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</si>
  <si>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</si>
  <si>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</si>
  <si>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</si>
  <si>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</si>
  <si>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</si>
  <si>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</si>
  <si>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</si>
  <si>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</si>
  <si>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</si>
  <si>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</si>
  <si>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</si>
  <si>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</si>
  <si>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</si>
  <si>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</si>
  <si>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</si>
  <si>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</si>
  <si>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</si>
  <si>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</si>
  <si>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</si>
  <si>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</si>
  <si>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</si>
  <si>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</si>
  <si>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</si>
  <si>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</si>
  <si>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</si>
  <si>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</si>
  <si>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</si>
  <si>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</si>
  <si>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</si>
  <si>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</si>
  <si>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</si>
  <si>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</si>
  <si>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</si>
  <si>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</si>
  <si>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</si>
  <si>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</si>
  <si>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</si>
  <si>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</si>
  <si>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</si>
  <si>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</si>
  <si>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</si>
  <si>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</si>
  <si>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</si>
  <si>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</si>
  <si>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</si>
  <si>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</si>
  <si>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</si>
  <si>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</si>
  <si>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</si>
  <si>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</si>
  <si>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</si>
  <si>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</si>
  <si>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</si>
  <si>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</si>
  <si>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</si>
  <si>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</si>
  <si>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</si>
  <si>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</si>
  <si>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</si>
  <si>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</si>
  <si>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</si>
  <si>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</si>
  <si>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</si>
  <si>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</si>
  <si>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</si>
  <si>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</si>
  <si>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</si>
  <si>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</si>
  <si>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</si>
  <si>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</si>
  <si>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</si>
  <si>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</si>
  <si>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</si>
  <si>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</si>
  <si>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</si>
  <si>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</si>
  <si>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</si>
  <si>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</si>
  <si>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</si>
  <si>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</si>
  <si>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</si>
  <si>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</si>
  <si>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</si>
  <si>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</si>
  <si>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</si>
  <si>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</si>
  <si>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</si>
  <si>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</si>
  <si>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</si>
  <si>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</si>
  <si>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</si>
  <si>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</si>
  <si>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</si>
  <si>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</si>
  <si>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</si>
  <si>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</si>
  <si>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</si>
  <si>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</si>
  <si>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</si>
  <si>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</si>
  <si>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</si>
  <si>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</si>
  <si>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</si>
  <si>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</si>
  <si>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</si>
  <si>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</si>
  <si>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</si>
  <si>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</si>
  <si>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</si>
  <si>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</si>
  <si>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</si>
  <si>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</si>
  <si>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</si>
  <si>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</si>
  <si>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</si>
  <si>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</si>
  <si>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</si>
  <si>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</si>
  <si>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</si>
  <si>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</si>
  <si>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</si>
  <si>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</si>
  <si>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</si>
  <si>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</si>
  <si>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</si>
  <si>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</si>
  <si>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</si>
  <si>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</si>
  <si>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</si>
  <si>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</si>
  <si>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</si>
  <si>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</si>
  <si>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</si>
  <si>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</si>
  <si>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</si>
  <si>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</si>
  <si>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</si>
  <si>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</si>
  <si>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</si>
  <si>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</si>
  <si>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</si>
  <si>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</si>
  <si>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</si>
  <si>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</si>
  <si>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</si>
  <si>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</si>
  <si>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</si>
  <si>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</si>
  <si>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</si>
  <si>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</si>
  <si>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</si>
  <si>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</si>
  <si>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</si>
  <si>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</si>
  <si>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</si>
  <si>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</si>
  <si>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</si>
  <si>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</si>
  <si>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</si>
  <si>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</si>
  <si>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</si>
  <si>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</si>
  <si>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</si>
  <si>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</si>
  <si>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</si>
  <si>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</si>
  <si>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</si>
  <si>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</si>
  <si>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</si>
  <si>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</si>
  <si>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</si>
  <si>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</si>
  <si>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</si>
  <si>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</si>
  <si>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</si>
  <si>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</si>
  <si>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</si>
  <si>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</si>
  <si>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</si>
  <si>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</si>
  <si>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</si>
  <si>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</si>
  <si>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</si>
  <si>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</si>
  <si>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</si>
  <si>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</si>
  <si>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</si>
  <si>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</si>
  <si>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</si>
  <si>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</si>
  <si>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</si>
  <si>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</si>
  <si>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</si>
  <si>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</si>
  <si>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</si>
  <si>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</si>
  <si>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</si>
  <si>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</si>
  <si>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</si>
  <si>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</si>
  <si>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</si>
  <si>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</si>
  <si>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</si>
  <si>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</si>
  <si>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</si>
  <si>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</si>
  <si>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</si>
  <si>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</si>
  <si>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</si>
  <si>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</si>
  <si>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</si>
  <si>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</si>
  <si>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</si>
  <si>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</si>
  <si>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</si>
  <si>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</si>
  <si>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</si>
  <si>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</si>
  <si>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</si>
  <si>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</si>
  <si>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</si>
  <si>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</si>
  <si>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</si>
  <si>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</si>
  <si>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</si>
  <si>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</si>
  <si>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</si>
  <si>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</si>
  <si>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</si>
  <si>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</si>
  <si>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</si>
  <si>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</si>
  <si>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</si>
  <si>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</si>
  <si>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</si>
  <si>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</si>
  <si>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</si>
  <si>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</si>
  <si>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</si>
  <si>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</si>
  <si>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</si>
  <si>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</si>
  <si>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</si>
  <si>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</si>
  <si>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</si>
  <si>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</si>
  <si>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</si>
  <si>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</si>
  <si>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</si>
  <si>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</si>
  <si>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</si>
  <si>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</si>
  <si>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</si>
  <si>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</si>
  <si>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</si>
  <si>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</si>
  <si>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</si>
  <si>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</si>
  <si>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</si>
  <si>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</si>
  <si>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</si>
  <si>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</si>
  <si>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</si>
  <si>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</si>
  <si>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</si>
  <si>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</si>
  <si>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</si>
  <si>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</si>
  <si>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</si>
  <si>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</si>
  <si>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</si>
  <si>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</si>
  <si>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</si>
  <si>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</si>
  <si>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</si>
  <si>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</si>
  <si>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</si>
  <si>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</si>
  <si>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</si>
  <si>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</si>
  <si>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</si>
  <si>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</si>
  <si>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</si>
  <si>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</si>
  <si>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</si>
  <si>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</si>
  <si>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</si>
  <si>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</si>
  <si>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</si>
  <si>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</si>
  <si>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</si>
  <si>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</si>
  <si>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</si>
  <si>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</si>
  <si>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</si>
  <si>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</si>
  <si>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</si>
  <si>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</si>
  <si>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</si>
  <si>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</si>
  <si>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</si>
  <si>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</si>
  <si>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</si>
  <si>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</si>
  <si>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</si>
  <si>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</si>
  <si>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</si>
  <si>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</si>
  <si>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</si>
  <si>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</si>
  <si>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</si>
  <si>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</si>
  <si>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</si>
  <si>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</si>
  <si>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</si>
  <si>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Central Solar Fotovoltaica de Sophia e LMAT associadas</t>
  </si>
  <si>
    <t>Fábio Cardona</t>
  </si>
  <si>
    <t>Conversão de Prados ou pastagens com Azinheiras/Sobreiros em acessos</t>
  </si>
  <si>
    <t>Conversão de Prados ou pastagens com Azinheiras/Sobreiros em coberto herbáceo</t>
  </si>
  <si>
    <t>Conversão de Prados ou pastagens com Azinheiras/Sobreiros em núcleo de azinheiras/sobreiros</t>
  </si>
  <si>
    <t>Prados ou pastagens com Azinheiras/Sobreiros a preservar</t>
  </si>
  <si>
    <t>Conversão de Prados ou pastagens com Azinheiras/Sobreiros em PT's</t>
  </si>
  <si>
    <t>Conversão de Prados ou pastagens com Azinheiras/Sobreiros em sebe arbórea/arbustiva</t>
  </si>
  <si>
    <t>Conversão de Prados ou pastagens com Azinheiras/Sobreiros em sebe arbustiva</t>
  </si>
  <si>
    <t>Conversão de Prados ou pastagens com Azinheiras/Sobreiros e Afloramentos rochosos em acessos</t>
  </si>
  <si>
    <t>Conversão de Prados ou pastagens com Azinheiras/Sobreiros e Afloramentos rochosos em coberto herbáceo</t>
  </si>
  <si>
    <t>Prados ou pastagens com Azinheiras/Sobreiros e Afloramentos rochosos a preservar</t>
  </si>
  <si>
    <t>Subestepes de gramíneas altas a preservar</t>
  </si>
  <si>
    <t>Conversão de Vegetação ribeirinha (Freixial) em acessos</t>
  </si>
  <si>
    <t>Vegetação ribeirinha (Freixial) a preservar</t>
  </si>
  <si>
    <t>Vegetação ribeirinha (Freixial) com afloramentos rochosos a preservar</t>
  </si>
  <si>
    <t>Conversão de Vegetação ribeirinha (Salgueiral) em acessos</t>
  </si>
  <si>
    <t>Vegetação ribeirinha (Salgueiral) a preservar</t>
  </si>
  <si>
    <t>Conversão de Vias de comunicação em coberto herbáceo</t>
  </si>
  <si>
    <t>Vinha a preservar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</si>
</sst>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3"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0">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cellStyleXfs>
  <cellXfs count="1315">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14" fontId="46" fillId="7" borderId="1" xfId="0" applyNumberFormat="1" applyFont="1" applyFill="1" applyBorder="1" applyAlignment="1" applyProtection="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5" fillId="5" borderId="17" xfId="0" applyFont="1" applyFill="1" applyBorder="1" applyAlignment="1">
      <alignment horizontal="center" vertical="center" wrapText="1"/>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7" fillId="0" borderId="0" xfId="0" applyFont="1" applyAlignment="1">
      <alignment horizontal="center"/>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52" fillId="10" borderId="12" xfId="0" applyFont="1" applyFill="1" applyBorder="1" applyAlignment="1">
      <alignment horizontal="center"/>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0" fontId="111" fillId="10" borderId="7" xfId="0" applyFont="1" applyFill="1" applyBorder="1" applyAlignment="1">
      <alignment horizontal="left" vertical="center"/>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7" xfId="0" applyFont="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48" fillId="13" borderId="0" xfId="0" applyFont="1" applyFill="1" applyAlignment="1">
      <alignment horizontal="left" vertical="top" wrapText="1"/>
    </xf>
    <xf numFmtId="0" fontId="47" fillId="5" borderId="7" xfId="0" applyFont="1" applyFill="1" applyBorder="1" applyAlignment="1">
      <alignment horizontal="center" vertical="center"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45" fillId="5" borderId="15" xfId="0" applyFont="1" applyFill="1" applyBorder="1" applyAlignment="1">
      <alignment horizontal="center" vertical="center"/>
    </xf>
    <xf numFmtId="0" fontId="45" fillId="5" borderId="19" xfId="0" applyFont="1" applyFill="1" applyBorder="1" applyAlignment="1">
      <alignment horizontal="center" vertical="center"/>
    </xf>
    <xf numFmtId="0" fontId="45" fillId="5" borderId="17" xfId="0" applyFont="1" applyFill="1" applyBorder="1" applyAlignment="1">
      <alignment horizontal="center" vertical="center"/>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6" fillId="22" borderId="0" xfId="0" applyFont="1" applyFill="1" applyAlignment="1">
      <alignment vertical="center" wrapText="1"/>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8" fillId="5" borderId="17" xfId="0" applyFont="1" applyFill="1" applyBorder="1" applyAlignment="1">
      <alignment horizontal="center" vertical="center" wrapText="1"/>
    </xf>
    <xf numFmtId="0" fontId="8" fillId="5" borderId="7" xfId="0" applyFont="1" applyFill="1" applyBorder="1" applyAlignment="1">
      <alignment horizontal="center" vertical="top" wrapText="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46" fillId="0" borderId="0" xfId="0" applyFont="1" applyAlignment="1">
      <alignment horizontal="left"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7" xfId="0" applyFont="1" applyFill="1" applyBorder="1" applyAlignment="1">
      <alignment horizontal="center"/>
    </xf>
    <xf numFmtId="0" fontId="47" fillId="22" borderId="0" xfId="0" applyFont="1" applyFill="1" applyAlignment="1">
      <alignment horizontal="left" vertical="top" wrapText="1"/>
    </xf>
    <xf numFmtId="0" fontId="62" fillId="0" borderId="0" xfId="0" applyFont="1" applyAlignment="1">
      <alignment horizontal="left" vertical="center" wrapText="1" indent="3"/>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46" fillId="0" borderId="0" xfId="0" applyFont="1" applyAlignment="1">
      <alignment horizontal="left" vertical="center" wrapText="1" indent="7"/>
    </xf>
    <xf numFmtId="0" fontId="46" fillId="0" borderId="0" xfId="0" applyFont="1" applyAlignment="1">
      <alignment horizontal="left" vertical="center" wrapText="1" indent="5"/>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8" fillId="0" borderId="0" xfId="0" applyFont="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0"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99" fillId="4" borderId="15"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9"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0" fillId="0" borderId="78" xfId="0" applyBorder="1" applyAlignment="1">
      <alignment horizontal="left" vertical="center" wrapText="1"/>
    </xf>
    <xf numFmtId="0" fontId="52" fillId="4" borderId="0" xfId="0" applyFont="1" applyFill="1" applyAlignment="1">
      <alignment horizontal="left"/>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cellXfs>
  <cellStyles count="10">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3" xfId="1" xr:uid="{9CC4C78A-8A05-4757-A08C-FA03EE1B7983}"/>
  </cellStyles>
  <dxfs count="90">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color theme="2" tint="-0.24994659260841701"/>
      </font>
    </dxf>
    <dxf>
      <font>
        <b/>
        <i val="0"/>
        <u val="double"/>
        <color rgb="FFFF0000"/>
      </font>
      <fill>
        <patternFill>
          <bgColor theme="7" tint="0.79998168889431442"/>
        </patternFill>
      </fill>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0</c:v>
                </c:pt>
                <c:pt idx="1">
                  <c:v>0</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0</c:v>
                </c:pt>
                <c:pt idx="1">
                  <c:v>0</c:v>
                </c:pt>
                <c:pt idx="2">
                  <c:v>0</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0</c:v>
                </c:pt>
                <c:pt idx="1">
                  <c:v>0</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95580" y="345765"/>
          <a:ext cx="6196344" cy="1076598"/>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topLeftCell="A3"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35" t="s">
        <v>1555</v>
      </c>
      <c r="C11" s="1035"/>
      <c r="D11" s="1035"/>
      <c r="E11" s="1035"/>
      <c r="F11" s="1035"/>
      <c r="G11" s="1035"/>
      <c r="H11" s="1035"/>
      <c r="I11" s="1035"/>
      <c r="J11" s="1035"/>
      <c r="K11" s="1035"/>
      <c r="L11" s="1035"/>
      <c r="M11" s="1035"/>
      <c r="N11" s="1035"/>
      <c r="O11" s="1035"/>
      <c r="P11" s="1035"/>
      <c r="Q11" s="1035"/>
      <c r="R11" s="1035"/>
      <c r="S11" s="1035"/>
      <c r="T11" s="1035"/>
      <c r="U11" s="1035"/>
      <c r="V11" s="1035"/>
      <c r="W11" s="1035"/>
    </row>
    <row r="12" spans="2:23" ht="46.95" customHeight="1" x14ac:dyDescent="0.35">
      <c r="B12" s="1035" t="s">
        <v>1556</v>
      </c>
      <c r="C12" s="1035"/>
      <c r="D12" s="1035"/>
      <c r="E12" s="1035"/>
      <c r="F12" s="1035"/>
      <c r="G12" s="1035"/>
      <c r="H12" s="1035"/>
      <c r="I12" s="1035"/>
      <c r="J12" s="1035"/>
      <c r="K12" s="1035"/>
      <c r="L12" s="1035"/>
      <c r="M12" s="1035"/>
      <c r="N12" s="1035"/>
      <c r="O12" s="1035"/>
      <c r="P12" s="1035"/>
      <c r="Q12" s="1035"/>
      <c r="R12" s="1035"/>
      <c r="S12" s="1035"/>
      <c r="T12" s="1035"/>
      <c r="U12" s="1035"/>
      <c r="V12" s="1035"/>
      <c r="W12" s="1035"/>
    </row>
    <row r="13" spans="2:23" ht="43.2" customHeight="1" x14ac:dyDescent="0.35">
      <c r="B13" s="1035" t="s">
        <v>1557</v>
      </c>
      <c r="C13" s="1035"/>
      <c r="D13" s="1035"/>
      <c r="E13" s="1035"/>
      <c r="F13" s="1035"/>
      <c r="G13" s="1035"/>
      <c r="H13" s="1035"/>
      <c r="I13" s="1035"/>
      <c r="J13" s="1035"/>
      <c r="K13" s="1035"/>
      <c r="L13" s="1035"/>
      <c r="M13" s="1035"/>
      <c r="N13" s="1035"/>
      <c r="O13" s="1035"/>
      <c r="P13" s="1035"/>
      <c r="Q13" s="1035"/>
      <c r="R13" s="1035"/>
      <c r="S13" s="1035"/>
      <c r="T13" s="1035"/>
      <c r="U13" s="1035"/>
      <c r="V13" s="1035"/>
      <c r="W13" s="1035"/>
    </row>
    <row r="14" spans="2:23" ht="64.2" customHeight="1" x14ac:dyDescent="0.35">
      <c r="B14" s="1035" t="s">
        <v>1558</v>
      </c>
      <c r="C14" s="1035"/>
      <c r="D14" s="1035"/>
      <c r="E14" s="1035"/>
      <c r="F14" s="1035"/>
      <c r="G14" s="1035"/>
      <c r="H14" s="1035"/>
      <c r="I14" s="1035"/>
      <c r="J14" s="1035"/>
      <c r="K14" s="1035"/>
      <c r="L14" s="1035"/>
      <c r="M14" s="1035"/>
      <c r="N14" s="1035"/>
      <c r="O14" s="1035"/>
      <c r="P14" s="1035"/>
      <c r="Q14" s="1035"/>
      <c r="R14" s="1035"/>
      <c r="S14" s="1035"/>
      <c r="T14" s="1035"/>
      <c r="U14" s="1035"/>
      <c r="V14" s="1035"/>
      <c r="W14" s="1035"/>
    </row>
    <row r="15" spans="2:23" ht="57" customHeight="1" x14ac:dyDescent="0.35">
      <c r="B15" s="1036" t="s">
        <v>1605</v>
      </c>
      <c r="C15" s="1036"/>
      <c r="D15" s="1036"/>
      <c r="E15" s="1036"/>
      <c r="F15" s="1036"/>
      <c r="G15" s="1036"/>
      <c r="H15" s="1036"/>
      <c r="I15" s="1036"/>
      <c r="J15" s="1036"/>
      <c r="K15" s="1036"/>
      <c r="L15" s="1036"/>
      <c r="M15" s="1036"/>
      <c r="N15" s="1036"/>
      <c r="O15" s="1036"/>
      <c r="P15" s="1036"/>
      <c r="Q15" s="1036"/>
      <c r="R15" s="1036"/>
      <c r="S15" s="1036"/>
      <c r="T15" s="1036"/>
      <c r="U15" s="1036"/>
      <c r="V15" s="1036"/>
      <c r="W15" s="1036"/>
    </row>
    <row r="16" spans="2:23" ht="18" x14ac:dyDescent="0.35"/>
    <row r="17" s="377" customFormat="1" ht="18" x14ac:dyDescent="0.35"/>
    <row r="18" s="377" customFormat="1" ht="18" x14ac:dyDescent="0.35"/>
    <row r="19" s="377" customFormat="1" ht="18" x14ac:dyDescent="0.35"/>
    <row r="20" s="377" customFormat="1" ht="18" x14ac:dyDescent="0.35"/>
    <row r="21" s="377" customFormat="1" ht="18" x14ac:dyDescent="0.35"/>
    <row r="22" s="377" customFormat="1" ht="55.5" customHeight="1" x14ac:dyDescent="0.35"/>
    <row r="23" s="377" customFormat="1" ht="18" x14ac:dyDescent="0.35"/>
    <row r="24" s="377" customFormat="1" ht="18" x14ac:dyDescent="0.35"/>
    <row r="25" s="377" customFormat="1" ht="14.4" customHeight="1" x14ac:dyDescent="0.35"/>
    <row r="26" s="377" customFormat="1" ht="14.4" customHeight="1" x14ac:dyDescent="0.35"/>
    <row r="27" s="377" customFormat="1" ht="14.4" customHeight="1" x14ac:dyDescent="0.35"/>
    <row r="28" s="377" customFormat="1" ht="14.4" customHeight="1" x14ac:dyDescent="0.35"/>
    <row r="29" s="377" customFormat="1" ht="14.4" customHeight="1" x14ac:dyDescent="0.35"/>
    <row r="30" s="377" customFormat="1" ht="14.4" customHeight="1" x14ac:dyDescent="0.35"/>
    <row r="31" s="377" customFormat="1" ht="14.4" customHeight="1" x14ac:dyDescent="0.35"/>
    <row r="32" s="377" customFormat="1" ht="14.4" customHeight="1" x14ac:dyDescent="0.35"/>
    <row r="33" s="377" customFormat="1" ht="14.4" customHeight="1" x14ac:dyDescent="0.35"/>
    <row r="34" s="377" customFormat="1" ht="14.4" customHeight="1" x14ac:dyDescent="0.35"/>
    <row r="35" s="377" customFormat="1" ht="14.4" customHeight="1" x14ac:dyDescent="0.35"/>
    <row r="36" s="377" customFormat="1" ht="14.4" customHeight="1" x14ac:dyDescent="0.35"/>
    <row r="37" s="377" customFormat="1" ht="14.4" customHeight="1" x14ac:dyDescent="0.35"/>
    <row r="38" s="377" customFormat="1" ht="14.4" customHeight="1" x14ac:dyDescent="0.35"/>
    <row r="39" s="377" customFormat="1" ht="14.4" customHeight="1" x14ac:dyDescent="0.35"/>
    <row r="40" s="377" customFormat="1" ht="14.4" customHeight="1" x14ac:dyDescent="0.35"/>
    <row r="41" s="377" customFormat="1" ht="14.4" customHeight="1" x14ac:dyDescent="0.35"/>
    <row r="42" s="377" customFormat="1" ht="14.4" customHeight="1" x14ac:dyDescent="0.35"/>
    <row r="43" s="377" customFormat="1" ht="14.4" customHeight="1" x14ac:dyDescent="0.35"/>
    <row r="44" s="377" customFormat="1" ht="14.4" customHeight="1" x14ac:dyDescent="0.35"/>
    <row r="45" s="377" customFormat="1"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41" t="s">
        <v>557</v>
      </c>
      <c r="U18" s="1141"/>
    </row>
    <row r="19" spans="2:24" ht="15" customHeight="1" thickBot="1" x14ac:dyDescent="0.35">
      <c r="D19" s="1"/>
      <c r="E19" s="8"/>
      <c r="F19" s="1138" t="s">
        <v>1117</v>
      </c>
      <c r="G19" s="1139"/>
      <c r="H19" s="1140"/>
      <c r="I19" s="1138" t="s">
        <v>47</v>
      </c>
      <c r="J19" s="1139"/>
      <c r="K19" s="1140"/>
      <c r="L19" s="1134" t="s">
        <v>557</v>
      </c>
      <c r="M19" s="1134" t="s">
        <v>558</v>
      </c>
      <c r="N19" s="1136"/>
      <c r="O19" s="1141" t="str">
        <f>C14</f>
        <v>Viagens a negócios</v>
      </c>
      <c r="P19" s="1136"/>
      <c r="Q19" s="1136"/>
      <c r="R19" s="1143" t="str">
        <f>C13</f>
        <v>Transporte a montante da empresa</v>
      </c>
      <c r="S19" s="1143" t="str">
        <f>C15</f>
        <v>Transporte a jusante da empresa</v>
      </c>
      <c r="T19" s="1141"/>
      <c r="U19" s="1141"/>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35"/>
      <c r="M20" s="1135"/>
      <c r="N20" s="1137"/>
      <c r="O20" s="1141"/>
      <c r="P20" s="1136"/>
      <c r="Q20" s="1136"/>
      <c r="R20" s="1142"/>
      <c r="S20" s="1142"/>
      <c r="T20" s="3" t="s">
        <v>555</v>
      </c>
      <c r="U20" s="3" t="s">
        <v>556</v>
      </c>
      <c r="V20" t="s">
        <v>736</v>
      </c>
      <c r="W20" t="s">
        <v>737</v>
      </c>
      <c r="X20" t="s">
        <v>738</v>
      </c>
    </row>
    <row r="21" spans="2:24" ht="14.7" customHeight="1" thickBot="1" x14ac:dyDescent="0.35">
      <c r="B21" s="1122" t="s">
        <v>241</v>
      </c>
      <c r="C21" s="56">
        <f>'Combustão Móvel'!B51</f>
        <v>0</v>
      </c>
      <c r="D21" s="148" t="str">
        <f>'Combustão Móvel'!O51</f>
        <v/>
      </c>
      <c r="E21" s="149">
        <v>0</v>
      </c>
      <c r="F21" s="150">
        <f>IF(C21=$F$20,D21,0)</f>
        <v>0</v>
      </c>
      <c r="G21" s="150">
        <f>IF(C21=$G$20,D21,0)</f>
        <v>0</v>
      </c>
      <c r="H21" s="150">
        <f>IF(C21=$H$20,D21,0)</f>
        <v>0</v>
      </c>
      <c r="I21" s="150">
        <f>IF(C21=$I$20,E21,0)</f>
        <v>0</v>
      </c>
      <c r="J21" s="150">
        <f>IF(C21=$J$20,E21,0)</f>
        <v>0</v>
      </c>
      <c r="K21" s="151">
        <f>IF(C21=$K$20,E21,0)</f>
        <v>0</v>
      </c>
      <c r="L21" s="37">
        <f>'Combustão Móvel'!F51</f>
        <v>0</v>
      </c>
      <c r="M21" s="41">
        <f>'Combustão Móvel'!G51</f>
        <v>0</v>
      </c>
      <c r="N21" s="153"/>
      <c r="O21" s="153">
        <f>IF($M21=$O$19,IF($L21=$B$14,$D21,0),0)</f>
        <v>0</v>
      </c>
      <c r="P21" s="153"/>
      <c r="Q21" s="153"/>
      <c r="R21" s="153">
        <f>IF($M21=$R$19,IF($L21=$B$14,$D21,0),0)</f>
        <v>0</v>
      </c>
      <c r="S21" s="153">
        <f>IF($M21=$S$19,IF($L21=$B$14,$D21,0),0)</f>
        <v>0</v>
      </c>
      <c r="T21" s="164">
        <f>IF($L21=$T$20,$D21,0)</f>
        <v>0</v>
      </c>
      <c r="U21" s="164">
        <f>IF($L21=$U$20,$D21,0)</f>
        <v>0</v>
      </c>
      <c r="V21" s="137" t="str">
        <f>IF($L21="Não",F21,"")</f>
        <v/>
      </c>
      <c r="W21" s="137" t="str">
        <f t="shared" ref="W21:X21" si="0">IF($L21="Não",G21,"")</f>
        <v/>
      </c>
      <c r="X21" s="137" t="str">
        <f t="shared" si="0"/>
        <v/>
      </c>
    </row>
    <row r="22" spans="2:24" ht="15" thickBot="1" x14ac:dyDescent="0.35">
      <c r="B22" s="1123"/>
      <c r="C22" s="56">
        <f>'Combustão Móvel'!B52</f>
        <v>0</v>
      </c>
      <c r="D22" s="148" t="str">
        <f>'Combustão Móvel'!O52</f>
        <v/>
      </c>
      <c r="E22" s="152">
        <v>0</v>
      </c>
      <c r="F22" s="153">
        <f t="shared" ref="F22:F85" si="1">IF(C22=$F$20,D22,0)</f>
        <v>0</v>
      </c>
      <c r="G22" s="153">
        <f t="shared" ref="G22:G85" si="2">IF(C22=$G$20,D22,0)</f>
        <v>0</v>
      </c>
      <c r="H22" s="153">
        <f t="shared" ref="H22:H85" si="3">IF(C22=$H$20,D22,0)</f>
        <v>0</v>
      </c>
      <c r="I22" s="153">
        <f t="shared" ref="I22:I85" si="4">IF(C22=$I$20,E22,0)</f>
        <v>0</v>
      </c>
      <c r="J22" s="153">
        <f t="shared" ref="J22:J85" si="5">IF(C22=$J$20,E22,0)</f>
        <v>0</v>
      </c>
      <c r="K22" s="154">
        <f t="shared" ref="K22:K85" si="6">IF(C22=$K$20,E22,0)</f>
        <v>0</v>
      </c>
      <c r="L22" s="37">
        <f>'Combustão Móvel'!F52</f>
        <v>0</v>
      </c>
      <c r="M22" s="41">
        <f>'Combustão Móvel'!G52</f>
        <v>0</v>
      </c>
      <c r="N22" s="153"/>
      <c r="O22" s="153">
        <f t="shared" ref="O22:O85" si="7">IF($M22=$O$19,IF($L22=$B$14,$D22,0),0)</f>
        <v>0</v>
      </c>
      <c r="P22" s="153"/>
      <c r="Q22" s="153"/>
      <c r="R22" s="153">
        <f t="shared" ref="R22:R85" si="8">IF($M22=$R$19,IF($L22=$B$14,$D22,0),0)</f>
        <v>0</v>
      </c>
      <c r="S22" s="153">
        <f t="shared" ref="S22:S85" si="9">IF($M22=$S$19,IF($L22=$B$14,$D22,0),0)</f>
        <v>0</v>
      </c>
      <c r="T22" s="164">
        <f t="shared" ref="T22:T85" si="10">IF($L22=$T$20,$D22,0)</f>
        <v>0</v>
      </c>
      <c r="U22" s="164">
        <f t="shared" ref="U22:U85" si="11">IF($L22=$U$20,$D22,0)</f>
        <v>0</v>
      </c>
      <c r="V22" s="137" t="str">
        <f t="shared" ref="V22:V24" si="12">IF($L22="Não",F22,"")</f>
        <v/>
      </c>
      <c r="W22" s="137" t="str">
        <f t="shared" ref="W22:W24" si="13">IF($L22="Não",G22,"")</f>
        <v/>
      </c>
      <c r="X22" s="137" t="str">
        <f t="shared" ref="X22:X24" si="14">IF($L22="Não",H22,"")</f>
        <v/>
      </c>
    </row>
    <row r="23" spans="2:24" ht="15" thickBot="1" x14ac:dyDescent="0.35">
      <c r="B23" s="1123"/>
      <c r="C23" s="56">
        <f>'Combustão Móvel'!B53</f>
        <v>0</v>
      </c>
      <c r="D23" s="148" t="str">
        <f>'Combustão Móvel'!O53</f>
        <v/>
      </c>
      <c r="E23" s="152">
        <v>0</v>
      </c>
      <c r="F23" s="153">
        <f t="shared" si="1"/>
        <v>0</v>
      </c>
      <c r="G23" s="153">
        <f t="shared" si="2"/>
        <v>0</v>
      </c>
      <c r="H23" s="153">
        <f t="shared" si="3"/>
        <v>0</v>
      </c>
      <c r="I23" s="153">
        <f t="shared" si="4"/>
        <v>0</v>
      </c>
      <c r="J23" s="153">
        <f t="shared" si="5"/>
        <v>0</v>
      </c>
      <c r="K23" s="154">
        <f t="shared" si="6"/>
        <v>0</v>
      </c>
      <c r="L23" s="37">
        <f>'Combustão Móvel'!F53</f>
        <v>0</v>
      </c>
      <c r="M23" s="41">
        <f>'Combustão Móvel'!G53</f>
        <v>0</v>
      </c>
      <c r="N23" s="153"/>
      <c r="O23" s="153">
        <f t="shared" si="7"/>
        <v>0</v>
      </c>
      <c r="P23" s="153"/>
      <c r="Q23" s="153"/>
      <c r="R23" s="153">
        <f t="shared" si="8"/>
        <v>0</v>
      </c>
      <c r="S23" s="153">
        <f t="shared" si="9"/>
        <v>0</v>
      </c>
      <c r="T23" s="164">
        <f t="shared" si="10"/>
        <v>0</v>
      </c>
      <c r="U23" s="164">
        <f t="shared" si="11"/>
        <v>0</v>
      </c>
      <c r="V23" s="137" t="str">
        <f t="shared" si="12"/>
        <v/>
      </c>
      <c r="W23" s="137" t="str">
        <f t="shared" si="13"/>
        <v/>
      </c>
      <c r="X23" s="137" t="str">
        <f t="shared" si="14"/>
        <v/>
      </c>
    </row>
    <row r="24" spans="2:24" ht="15" thickBot="1" x14ac:dyDescent="0.35">
      <c r="B24" s="1123"/>
      <c r="C24" s="56">
        <f>'Combustão Móvel'!B54</f>
        <v>0</v>
      </c>
      <c r="D24" s="148" t="str">
        <f>'Combustão Móvel'!O54</f>
        <v/>
      </c>
      <c r="E24" s="152">
        <v>0</v>
      </c>
      <c r="F24" s="153">
        <f t="shared" si="1"/>
        <v>0</v>
      </c>
      <c r="G24" s="153">
        <f t="shared" si="2"/>
        <v>0</v>
      </c>
      <c r="H24" s="153">
        <f t="shared" si="3"/>
        <v>0</v>
      </c>
      <c r="I24" s="153">
        <f t="shared" si="4"/>
        <v>0</v>
      </c>
      <c r="J24" s="153">
        <f t="shared" si="5"/>
        <v>0</v>
      </c>
      <c r="K24" s="154">
        <f t="shared" si="6"/>
        <v>0</v>
      </c>
      <c r="L24" s="37">
        <f>'Combustão Móvel'!F54</f>
        <v>0</v>
      </c>
      <c r="M24" s="41">
        <f>'Combustão Móvel'!G54</f>
        <v>0</v>
      </c>
      <c r="N24" s="153"/>
      <c r="O24" s="153">
        <f t="shared" si="7"/>
        <v>0</v>
      </c>
      <c r="P24" s="153"/>
      <c r="Q24" s="153"/>
      <c r="R24" s="153">
        <f t="shared" si="8"/>
        <v>0</v>
      </c>
      <c r="S24" s="153">
        <f t="shared" si="9"/>
        <v>0</v>
      </c>
      <c r="T24" s="164">
        <f t="shared" si="10"/>
        <v>0</v>
      </c>
      <c r="U24" s="164">
        <f t="shared" si="11"/>
        <v>0</v>
      </c>
      <c r="V24" s="137" t="str">
        <f t="shared" si="12"/>
        <v/>
      </c>
      <c r="W24" s="137" t="str">
        <f t="shared" si="13"/>
        <v/>
      </c>
      <c r="X24" s="137" t="str">
        <f t="shared" si="14"/>
        <v/>
      </c>
    </row>
    <row r="25" spans="2:24" ht="15" thickBot="1" x14ac:dyDescent="0.35">
      <c r="B25" s="1123"/>
      <c r="C25" s="56">
        <f>'Combustão Móvel'!B55</f>
        <v>0</v>
      </c>
      <c r="D25" s="148" t="str">
        <f>'Combustão Móvel'!O55</f>
        <v/>
      </c>
      <c r="E25" s="152">
        <v>0</v>
      </c>
      <c r="F25" s="153">
        <f t="shared" si="1"/>
        <v>0</v>
      </c>
      <c r="G25" s="153">
        <f t="shared" si="2"/>
        <v>0</v>
      </c>
      <c r="H25" s="153">
        <f t="shared" si="3"/>
        <v>0</v>
      </c>
      <c r="I25" s="153">
        <f t="shared" si="4"/>
        <v>0</v>
      </c>
      <c r="J25" s="153">
        <f t="shared" si="5"/>
        <v>0</v>
      </c>
      <c r="K25" s="154">
        <f t="shared" si="6"/>
        <v>0</v>
      </c>
      <c r="L25" s="37">
        <f>'Combustão Móvel'!F55</f>
        <v>0</v>
      </c>
      <c r="M25" s="41">
        <f>'Combustão Móvel'!G55</f>
        <v>0</v>
      </c>
      <c r="N25" s="153"/>
      <c r="O25" s="153">
        <f t="shared" si="7"/>
        <v>0</v>
      </c>
      <c r="P25" s="153"/>
      <c r="Q25" s="153"/>
      <c r="R25" s="153">
        <f t="shared" si="8"/>
        <v>0</v>
      </c>
      <c r="S25" s="153">
        <f t="shared" si="9"/>
        <v>0</v>
      </c>
      <c r="T25" s="164">
        <f t="shared" si="10"/>
        <v>0</v>
      </c>
      <c r="U25" s="164">
        <f t="shared" si="11"/>
        <v>0</v>
      </c>
      <c r="V25" s="137" t="str">
        <f t="shared" ref="V25:V88" si="15">IF($L25="Não",F25,"")</f>
        <v/>
      </c>
      <c r="W25" s="137" t="str">
        <f t="shared" ref="W25:W88" si="16">IF($L25="Não",G25,"")</f>
        <v/>
      </c>
      <c r="X25" s="137" t="str">
        <f t="shared" ref="X25:X88" si="17">IF($L25="Não",H25,"")</f>
        <v/>
      </c>
    </row>
    <row r="26" spans="2:24" ht="15" thickBot="1" x14ac:dyDescent="0.35">
      <c r="B26" s="1123"/>
      <c r="C26" s="56">
        <f>'Combustão Móvel'!B56</f>
        <v>0</v>
      </c>
      <c r="D26" s="148" t="str">
        <f>'Combustão Móvel'!O56</f>
        <v/>
      </c>
      <c r="E26" s="152">
        <v>0</v>
      </c>
      <c r="F26" s="153">
        <f t="shared" si="1"/>
        <v>0</v>
      </c>
      <c r="G26" s="153">
        <f t="shared" si="2"/>
        <v>0</v>
      </c>
      <c r="H26" s="153">
        <f t="shared" si="3"/>
        <v>0</v>
      </c>
      <c r="I26" s="153">
        <f t="shared" si="4"/>
        <v>0</v>
      </c>
      <c r="J26" s="153">
        <f t="shared" si="5"/>
        <v>0</v>
      </c>
      <c r="K26" s="154">
        <f t="shared" si="6"/>
        <v>0</v>
      </c>
      <c r="L26" s="37">
        <f>'Combustão Móvel'!F56</f>
        <v>0</v>
      </c>
      <c r="M26" s="41">
        <f>'Combustão Móvel'!G56</f>
        <v>0</v>
      </c>
      <c r="N26" s="153"/>
      <c r="O26" s="153">
        <f t="shared" si="7"/>
        <v>0</v>
      </c>
      <c r="P26" s="153"/>
      <c r="Q26" s="153"/>
      <c r="R26" s="153">
        <f t="shared" si="8"/>
        <v>0</v>
      </c>
      <c r="S26" s="153">
        <f t="shared" si="9"/>
        <v>0</v>
      </c>
      <c r="T26" s="164">
        <f t="shared" si="10"/>
        <v>0</v>
      </c>
      <c r="U26" s="164">
        <f t="shared" si="11"/>
        <v>0</v>
      </c>
      <c r="V26" s="137" t="str">
        <f t="shared" si="15"/>
        <v/>
      </c>
      <c r="W26" s="137" t="str">
        <f t="shared" si="16"/>
        <v/>
      </c>
      <c r="X26" s="137" t="str">
        <f t="shared" si="17"/>
        <v/>
      </c>
    </row>
    <row r="27" spans="2:24" ht="15" thickBot="1" x14ac:dyDescent="0.35">
      <c r="B27" s="1123"/>
      <c r="C27" s="56">
        <f>'Combustão Móvel'!B57</f>
        <v>0</v>
      </c>
      <c r="D27" s="148" t="str">
        <f>'Combustão Móvel'!O57</f>
        <v/>
      </c>
      <c r="E27" s="152">
        <v>0</v>
      </c>
      <c r="F27" s="153">
        <f t="shared" si="1"/>
        <v>0</v>
      </c>
      <c r="G27" s="153">
        <f t="shared" si="2"/>
        <v>0</v>
      </c>
      <c r="H27" s="153">
        <f t="shared" si="3"/>
        <v>0</v>
      </c>
      <c r="I27" s="153">
        <f t="shared" si="4"/>
        <v>0</v>
      </c>
      <c r="J27" s="153">
        <f t="shared" si="5"/>
        <v>0</v>
      </c>
      <c r="K27" s="154">
        <f t="shared" si="6"/>
        <v>0</v>
      </c>
      <c r="L27" s="37">
        <f>'Combustão Móvel'!F57</f>
        <v>0</v>
      </c>
      <c r="M27" s="41">
        <f>'Combustão Móvel'!G57</f>
        <v>0</v>
      </c>
      <c r="N27" s="153"/>
      <c r="O27" s="153">
        <f t="shared" si="7"/>
        <v>0</v>
      </c>
      <c r="P27" s="153"/>
      <c r="Q27" s="153"/>
      <c r="R27" s="153">
        <f t="shared" si="8"/>
        <v>0</v>
      </c>
      <c r="S27" s="153">
        <f t="shared" si="9"/>
        <v>0</v>
      </c>
      <c r="T27" s="164">
        <f t="shared" si="10"/>
        <v>0</v>
      </c>
      <c r="U27" s="164">
        <f t="shared" si="11"/>
        <v>0</v>
      </c>
      <c r="V27" s="137" t="str">
        <f t="shared" si="15"/>
        <v/>
      </c>
      <c r="W27" s="137" t="str">
        <f t="shared" si="16"/>
        <v/>
      </c>
      <c r="X27" s="137" t="str">
        <f t="shared" si="17"/>
        <v/>
      </c>
    </row>
    <row r="28" spans="2:24" ht="15" thickBot="1" x14ac:dyDescent="0.35">
      <c r="B28" s="1123"/>
      <c r="C28" s="56">
        <f>'Combustão Móvel'!B58</f>
        <v>0</v>
      </c>
      <c r="D28" s="148" t="str">
        <f>'Combustão Móvel'!O58</f>
        <v/>
      </c>
      <c r="E28" s="152">
        <v>0</v>
      </c>
      <c r="F28" s="153">
        <f t="shared" si="1"/>
        <v>0</v>
      </c>
      <c r="G28" s="153">
        <f t="shared" si="2"/>
        <v>0</v>
      </c>
      <c r="H28" s="153">
        <f t="shared" si="3"/>
        <v>0</v>
      </c>
      <c r="I28" s="153">
        <f t="shared" si="4"/>
        <v>0</v>
      </c>
      <c r="J28" s="153">
        <f t="shared" si="5"/>
        <v>0</v>
      </c>
      <c r="K28" s="154">
        <f t="shared" si="6"/>
        <v>0</v>
      </c>
      <c r="L28" s="37">
        <f>'Combustão Móvel'!F58</f>
        <v>0</v>
      </c>
      <c r="M28" s="41">
        <f>'Combustão Móvel'!G58</f>
        <v>0</v>
      </c>
      <c r="N28" s="153"/>
      <c r="O28" s="153">
        <f t="shared" si="7"/>
        <v>0</v>
      </c>
      <c r="P28" s="153"/>
      <c r="Q28" s="153"/>
      <c r="R28" s="153">
        <f t="shared" si="8"/>
        <v>0</v>
      </c>
      <c r="S28" s="153">
        <f t="shared" si="9"/>
        <v>0</v>
      </c>
      <c r="T28" s="164">
        <f t="shared" si="10"/>
        <v>0</v>
      </c>
      <c r="U28" s="164">
        <f t="shared" si="11"/>
        <v>0</v>
      </c>
      <c r="V28" s="137" t="str">
        <f t="shared" si="15"/>
        <v/>
      </c>
      <c r="W28" s="137" t="str">
        <f t="shared" si="16"/>
        <v/>
      </c>
      <c r="X28" s="137" t="str">
        <f t="shared" si="17"/>
        <v/>
      </c>
    </row>
    <row r="29" spans="2:24" ht="15" thickBot="1" x14ac:dyDescent="0.35">
      <c r="B29" s="1123"/>
      <c r="C29" s="56">
        <f>'Combustão Móvel'!B59</f>
        <v>0</v>
      </c>
      <c r="D29" s="148" t="str">
        <f>'Combustão Móvel'!O59</f>
        <v/>
      </c>
      <c r="E29" s="152">
        <v>0</v>
      </c>
      <c r="F29" s="153">
        <f t="shared" si="1"/>
        <v>0</v>
      </c>
      <c r="G29" s="153">
        <f t="shared" si="2"/>
        <v>0</v>
      </c>
      <c r="H29" s="153">
        <f t="shared" si="3"/>
        <v>0</v>
      </c>
      <c r="I29" s="153">
        <f t="shared" si="4"/>
        <v>0</v>
      </c>
      <c r="J29" s="153">
        <f t="shared" si="5"/>
        <v>0</v>
      </c>
      <c r="K29" s="154">
        <f t="shared" si="6"/>
        <v>0</v>
      </c>
      <c r="L29" s="37">
        <f>'Combustão Móvel'!F59</f>
        <v>0</v>
      </c>
      <c r="M29" s="41">
        <f>'Combustão Móvel'!G59</f>
        <v>0</v>
      </c>
      <c r="N29" s="153"/>
      <c r="O29" s="153">
        <f t="shared" si="7"/>
        <v>0</v>
      </c>
      <c r="P29" s="153"/>
      <c r="Q29" s="153"/>
      <c r="R29" s="153">
        <f t="shared" si="8"/>
        <v>0</v>
      </c>
      <c r="S29" s="153">
        <f t="shared" si="9"/>
        <v>0</v>
      </c>
      <c r="T29" s="164">
        <f t="shared" si="10"/>
        <v>0</v>
      </c>
      <c r="U29" s="164">
        <f t="shared" si="11"/>
        <v>0</v>
      </c>
      <c r="V29" s="137" t="str">
        <f t="shared" si="15"/>
        <v/>
      </c>
      <c r="W29" s="137" t="str">
        <f t="shared" si="16"/>
        <v/>
      </c>
      <c r="X29" s="137" t="str">
        <f t="shared" si="17"/>
        <v/>
      </c>
    </row>
    <row r="30" spans="2:24" ht="15" thickBot="1" x14ac:dyDescent="0.35">
      <c r="B30" s="1123"/>
      <c r="C30" s="56">
        <f>'Combustão Móvel'!B60</f>
        <v>0</v>
      </c>
      <c r="D30" s="148" t="str">
        <f>'Combustão Móvel'!O60</f>
        <v/>
      </c>
      <c r="E30" s="152">
        <v>0</v>
      </c>
      <c r="F30" s="153">
        <f t="shared" si="1"/>
        <v>0</v>
      </c>
      <c r="G30" s="153">
        <f t="shared" si="2"/>
        <v>0</v>
      </c>
      <c r="H30" s="153">
        <f t="shared" si="3"/>
        <v>0</v>
      </c>
      <c r="I30" s="153">
        <f t="shared" si="4"/>
        <v>0</v>
      </c>
      <c r="J30" s="153">
        <f t="shared" si="5"/>
        <v>0</v>
      </c>
      <c r="K30" s="154">
        <f t="shared" si="6"/>
        <v>0</v>
      </c>
      <c r="L30" s="37">
        <f>'Combustão Móvel'!F60</f>
        <v>0</v>
      </c>
      <c r="M30" s="41">
        <f>'Combustão Móvel'!G60</f>
        <v>0</v>
      </c>
      <c r="N30" s="153"/>
      <c r="O30" s="153">
        <f t="shared" si="7"/>
        <v>0</v>
      </c>
      <c r="P30" s="153"/>
      <c r="Q30" s="153"/>
      <c r="R30" s="153">
        <f t="shared" si="8"/>
        <v>0</v>
      </c>
      <c r="S30" s="153">
        <f t="shared" si="9"/>
        <v>0</v>
      </c>
      <c r="T30" s="164">
        <f t="shared" si="10"/>
        <v>0</v>
      </c>
      <c r="U30" s="164">
        <f t="shared" si="11"/>
        <v>0</v>
      </c>
      <c r="V30" s="137" t="str">
        <f t="shared" si="15"/>
        <v/>
      </c>
      <c r="W30" s="137" t="str">
        <f t="shared" si="16"/>
        <v/>
      </c>
      <c r="X30" s="137" t="str">
        <f t="shared" si="17"/>
        <v/>
      </c>
    </row>
    <row r="31" spans="2:24" ht="15" thickBot="1" x14ac:dyDescent="0.35">
      <c r="B31" s="1123"/>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23"/>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23"/>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23"/>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23"/>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23"/>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23"/>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23"/>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23"/>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23"/>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23"/>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23"/>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23"/>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23"/>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23"/>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23"/>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23"/>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23"/>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23"/>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23"/>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23"/>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23"/>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23"/>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23"/>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23"/>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23"/>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23"/>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23"/>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23"/>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23"/>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23"/>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23"/>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23"/>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23"/>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23"/>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23"/>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23"/>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23"/>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23"/>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23"/>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23"/>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23"/>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23"/>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23"/>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23"/>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23"/>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23"/>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23"/>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23"/>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23"/>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23"/>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23"/>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23"/>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23"/>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23"/>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23"/>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23"/>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23"/>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23"/>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23"/>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23"/>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23"/>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23"/>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23"/>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23"/>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23"/>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23"/>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23"/>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23"/>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23"/>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23"/>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23"/>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23"/>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23"/>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23"/>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23"/>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23"/>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23"/>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23"/>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23"/>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23"/>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23"/>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23"/>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23"/>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23"/>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23"/>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23"/>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23"/>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23"/>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24"/>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28"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29"/>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29"/>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29"/>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29"/>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29"/>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29"/>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29"/>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29"/>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29"/>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29"/>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29"/>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29"/>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29"/>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29"/>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29"/>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29"/>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29"/>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29"/>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29"/>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29"/>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29"/>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29"/>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29"/>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29"/>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29"/>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29"/>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29"/>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29"/>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29"/>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29"/>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29"/>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29"/>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29"/>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29"/>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29"/>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29"/>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29"/>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29"/>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29"/>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29"/>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29"/>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29"/>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29"/>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29"/>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29"/>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29"/>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29"/>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29"/>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29"/>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29"/>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29"/>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29"/>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29"/>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29"/>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29"/>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29"/>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29"/>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29"/>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29"/>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29"/>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29"/>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29"/>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29"/>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29"/>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29"/>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29"/>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29"/>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29"/>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29"/>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29"/>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29"/>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29"/>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29"/>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29"/>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29"/>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29"/>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29"/>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29"/>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29"/>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29"/>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29"/>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29"/>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29"/>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29"/>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29"/>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29"/>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29"/>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29"/>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29"/>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29"/>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29"/>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29"/>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29"/>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29"/>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29"/>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29"/>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29"/>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29"/>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30"/>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31"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32"/>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32"/>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32"/>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32"/>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32"/>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32"/>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32"/>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32"/>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32"/>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32"/>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32"/>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32"/>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32"/>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32"/>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32"/>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32"/>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32"/>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32"/>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32"/>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32"/>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32"/>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32"/>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32"/>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32"/>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32"/>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32"/>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32"/>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32"/>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32"/>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32"/>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32"/>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32"/>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32"/>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32"/>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32"/>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32"/>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32"/>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32"/>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32"/>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32"/>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32"/>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32"/>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32"/>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32"/>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32"/>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32"/>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32"/>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32"/>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32"/>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32"/>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32"/>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32"/>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32"/>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32"/>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32"/>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32"/>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32"/>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32"/>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32"/>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32"/>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32"/>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32"/>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32"/>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32"/>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32"/>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32"/>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32"/>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32"/>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32"/>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32"/>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32"/>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32"/>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32"/>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32"/>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32"/>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32"/>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32"/>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32"/>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32"/>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32"/>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32"/>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32"/>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32"/>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32"/>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32"/>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32"/>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32"/>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32"/>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32"/>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32"/>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32"/>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32"/>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32"/>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32"/>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32"/>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32"/>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32"/>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32"/>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33"/>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22"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23"/>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23"/>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23"/>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23"/>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23"/>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23"/>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23"/>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23"/>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23"/>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23"/>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23"/>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23"/>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23"/>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23"/>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23"/>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23"/>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23"/>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23"/>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23"/>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23"/>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23"/>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23"/>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23"/>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23"/>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23"/>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23"/>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23"/>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23"/>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23"/>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23"/>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23"/>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23"/>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23"/>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23"/>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23"/>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23"/>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23"/>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23"/>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23"/>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23"/>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23"/>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23"/>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23"/>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23"/>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23"/>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23"/>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23"/>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23"/>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23"/>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23"/>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23"/>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23"/>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23"/>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23"/>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23"/>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23"/>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23"/>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23"/>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23"/>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23"/>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23"/>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23"/>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23"/>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23"/>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23"/>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23"/>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23"/>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23"/>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23"/>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23"/>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23"/>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23"/>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23"/>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23"/>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23"/>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23"/>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23"/>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23"/>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23"/>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23"/>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23"/>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23"/>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23"/>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23"/>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23"/>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23"/>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23"/>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23"/>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23"/>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23"/>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23"/>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23"/>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23"/>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23"/>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23"/>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23"/>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23"/>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23"/>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24"/>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0</v>
      </c>
      <c r="H421" s="86">
        <f>SUMIF($C21:$C420,"Desativação", $D21:$D420)</f>
        <v>0</v>
      </c>
      <c r="I421" s="68">
        <f>SUM(I21:I420)</f>
        <v>0</v>
      </c>
      <c r="J421" s="68">
        <f>SUM(J21:J420)</f>
        <v>0</v>
      </c>
      <c r="K421" s="69">
        <f>SUM(K21:K420)</f>
        <v>0</v>
      </c>
      <c r="N421" s="138"/>
      <c r="O421" s="138">
        <f t="shared" ref="O421:U421" si="126">SUM(O21:O420)</f>
        <v>0</v>
      </c>
      <c r="P421" s="138"/>
      <c r="Q421" s="138"/>
      <c r="R421" s="138">
        <f t="shared" si="126"/>
        <v>0</v>
      </c>
      <c r="S421" s="138">
        <f t="shared" si="126"/>
        <v>0</v>
      </c>
      <c r="T421" s="138">
        <f t="shared" si="126"/>
        <v>0</v>
      </c>
      <c r="U421" s="138">
        <f t="shared" si="126"/>
        <v>0</v>
      </c>
    </row>
    <row r="422" spans="2:24" x14ac:dyDescent="0.3">
      <c r="F422" s="1125" t="s">
        <v>48</v>
      </c>
      <c r="G422" s="1126"/>
      <c r="H422" s="1127"/>
      <c r="I422" s="1125" t="s">
        <v>47</v>
      </c>
      <c r="J422" s="1126"/>
      <c r="K422" s="1126"/>
      <c r="N422" s="1142"/>
      <c r="O422" s="1142" t="s">
        <v>559</v>
      </c>
      <c r="P422" s="1142"/>
      <c r="Q422" s="1142"/>
      <c r="R422" s="1143" t="s">
        <v>561</v>
      </c>
      <c r="S422" s="1143" t="s">
        <v>562</v>
      </c>
      <c r="T422" s="3" t="s">
        <v>555</v>
      </c>
      <c r="U422" s="3" t="s">
        <v>556</v>
      </c>
    </row>
    <row r="423" spans="2:24" ht="19.8" x14ac:dyDescent="0.3">
      <c r="F423" s="13" t="s">
        <v>26</v>
      </c>
      <c r="G423" s="14" t="s">
        <v>37</v>
      </c>
      <c r="H423" s="15" t="s">
        <v>264</v>
      </c>
      <c r="I423" s="13" t="s">
        <v>26</v>
      </c>
      <c r="J423" s="14" t="s">
        <v>37</v>
      </c>
      <c r="K423" s="15" t="s">
        <v>264</v>
      </c>
      <c r="N423" s="1141"/>
      <c r="O423" s="1141"/>
      <c r="P423" s="1141"/>
      <c r="Q423" s="1141"/>
      <c r="R423" s="1142"/>
      <c r="S423" s="1142"/>
    </row>
  </sheetData>
  <mergeCells count="23">
    <mergeCell ref="T18:U19"/>
    <mergeCell ref="O19:O20"/>
    <mergeCell ref="P19:P20"/>
    <mergeCell ref="Q19:Q20"/>
    <mergeCell ref="N422:N423"/>
    <mergeCell ref="O422:O423"/>
    <mergeCell ref="P422:P423"/>
    <mergeCell ref="Q422:Q423"/>
    <mergeCell ref="R19:R20"/>
    <mergeCell ref="S19:S20"/>
    <mergeCell ref="R422:R423"/>
    <mergeCell ref="S422:S423"/>
    <mergeCell ref="L19:L20"/>
    <mergeCell ref="M19:M20"/>
    <mergeCell ref="N19:N20"/>
    <mergeCell ref="F19:H19"/>
    <mergeCell ref="I19:K19"/>
    <mergeCell ref="B321:B420"/>
    <mergeCell ref="F422:H422"/>
    <mergeCell ref="I422:K422"/>
    <mergeCell ref="B21:B120"/>
    <mergeCell ref="B121:B220"/>
    <mergeCell ref="B221:B32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B26" zoomScale="70" zoomScaleNormal="70" workbookViewId="0">
      <selection activeCell="H51" sqref="H51"/>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00" t="str">
        <f>IF(Triagem!C31="", "Não indicou na TRIAGEM se esta folha de adequa ao projeto", IF(Triagem!C31="Não", "Não necessita de preencher esta folha", "Folha a ser preenchida"))</f>
        <v>Não indicou na TRIAGEM se esta folha de adequa ao projeto</v>
      </c>
      <c r="E7" s="1100"/>
      <c r="F7" s="1100"/>
      <c r="G7" s="1100"/>
      <c r="H7" s="1100"/>
    </row>
    <row r="8" spans="2:14" x14ac:dyDescent="0.3">
      <c r="D8" s="376"/>
      <c r="E8" s="376"/>
      <c r="F8" s="376"/>
      <c r="G8" s="376"/>
      <c r="H8" s="376"/>
    </row>
    <row r="9" spans="2:14" ht="54.6" customHeight="1" outlineLevel="1" x14ac:dyDescent="0.3">
      <c r="B9" s="1144" t="s">
        <v>1352</v>
      </c>
      <c r="C9" s="1144"/>
      <c r="D9" s="1144"/>
      <c r="E9" s="1144"/>
      <c r="F9" s="1144"/>
      <c r="G9" s="1144"/>
      <c r="H9" s="1144"/>
      <c r="I9" s="1144"/>
      <c r="J9" s="1144"/>
      <c r="K9" s="1144"/>
      <c r="L9" s="1144"/>
      <c r="M9" s="1144"/>
      <c r="N9" s="1144"/>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60" t="s">
        <v>741</v>
      </c>
      <c r="C12" s="1160"/>
      <c r="D12" s="1160"/>
      <c r="E12" s="1160"/>
      <c r="F12" s="1160"/>
      <c r="G12" s="1160"/>
      <c r="H12" s="1160"/>
      <c r="I12" s="1160"/>
      <c r="J12" s="1160"/>
      <c r="K12" s="1160"/>
      <c r="L12" s="1160"/>
      <c r="M12" s="1160"/>
      <c r="N12" s="1160"/>
    </row>
    <row r="13" spans="2:14" outlineLevel="1" x14ac:dyDescent="0.3">
      <c r="B13" s="1160"/>
      <c r="C13" s="1160"/>
      <c r="D13" s="1160"/>
      <c r="E13" s="1160"/>
      <c r="F13" s="1160"/>
      <c r="G13" s="1160"/>
      <c r="H13" s="1160"/>
      <c r="I13" s="1160"/>
      <c r="J13" s="1160"/>
      <c r="K13" s="1160"/>
      <c r="L13" s="1160"/>
      <c r="M13" s="1160"/>
      <c r="N13" s="1160"/>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58" t="s">
        <v>713</v>
      </c>
      <c r="C40" s="1155" t="s">
        <v>188</v>
      </c>
      <c r="D40" s="1145" t="s">
        <v>750</v>
      </c>
      <c r="E40" s="1145"/>
      <c r="F40" s="1076" t="s">
        <v>747</v>
      </c>
      <c r="G40" s="1146" t="s">
        <v>748</v>
      </c>
      <c r="H40" s="1147"/>
      <c r="I40" s="1076" t="s">
        <v>753</v>
      </c>
      <c r="J40" s="1152" t="s">
        <v>749</v>
      </c>
      <c r="K40" s="1058" t="s">
        <v>1343</v>
      </c>
    </row>
    <row r="41" spans="1:16" ht="32.700000000000003" customHeight="1" outlineLevel="1" x14ac:dyDescent="0.3">
      <c r="B41" s="1059"/>
      <c r="C41" s="1156"/>
      <c r="D41" s="942" t="s">
        <v>751</v>
      </c>
      <c r="E41" s="942" t="s">
        <v>752</v>
      </c>
      <c r="F41" s="1077"/>
      <c r="G41" s="1148"/>
      <c r="H41" s="1149"/>
      <c r="I41" s="1077"/>
      <c r="J41" s="1153"/>
      <c r="K41" s="1059"/>
    </row>
    <row r="42" spans="1:16" outlineLevel="1" x14ac:dyDescent="0.3">
      <c r="B42" s="1060"/>
      <c r="C42" s="1157"/>
      <c r="D42" s="362" t="s">
        <v>186</v>
      </c>
      <c r="E42" s="362" t="s">
        <v>186</v>
      </c>
      <c r="F42" s="1078"/>
      <c r="G42" s="1150"/>
      <c r="H42" s="1151"/>
      <c r="I42" s="1078"/>
      <c r="J42" s="1154"/>
      <c r="K42" s="1060"/>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61" t="s">
        <v>1105</v>
      </c>
      <c r="C74" s="1161"/>
      <c r="D74" s="1161"/>
      <c r="E74" s="1161"/>
      <c r="F74" s="1161"/>
      <c r="G74" s="1161"/>
      <c r="H74" s="1161"/>
      <c r="I74" s="1161"/>
      <c r="J74" s="1161"/>
    </row>
    <row r="75" spans="2:11" ht="21.6" customHeight="1" outlineLevel="1" x14ac:dyDescent="0.3">
      <c r="B75" s="1161" t="s">
        <v>1350</v>
      </c>
      <c r="C75" s="1161"/>
      <c r="D75" s="1161"/>
      <c r="E75" s="1161"/>
      <c r="F75" s="1161"/>
      <c r="G75" s="1161"/>
      <c r="H75" s="1161"/>
      <c r="I75" s="1161"/>
      <c r="J75" s="1161"/>
    </row>
    <row r="76" spans="2:11" ht="36" customHeight="1" outlineLevel="1" x14ac:dyDescent="0.3">
      <c r="B76" s="1161" t="s">
        <v>1345</v>
      </c>
      <c r="C76" s="1161"/>
      <c r="D76" s="1161"/>
      <c r="E76" s="1161"/>
      <c r="F76" s="1161"/>
      <c r="G76" s="1161"/>
      <c r="H76" s="1161"/>
      <c r="I76" s="1161"/>
      <c r="J76" s="1161"/>
    </row>
    <row r="77" spans="2:11" outlineLevel="1" x14ac:dyDescent="0.3">
      <c r="C77" s="431"/>
      <c r="H77" s="171"/>
    </row>
    <row r="78" spans="2:11" ht="18" outlineLevel="1" x14ac:dyDescent="0.4">
      <c r="B78" s="169" t="s">
        <v>1349</v>
      </c>
      <c r="H78" s="171"/>
    </row>
    <row r="79" spans="2:11" s="314" customFormat="1" ht="51.6" customHeight="1" outlineLevel="1" x14ac:dyDescent="0.3">
      <c r="B79" s="1058" t="s">
        <v>612</v>
      </c>
      <c r="C79" s="1155" t="s">
        <v>785</v>
      </c>
      <c r="D79" s="1159" t="s">
        <v>815</v>
      </c>
      <c r="E79" s="1159"/>
      <c r="F79" s="1159"/>
      <c r="G79" s="300" t="s">
        <v>929</v>
      </c>
      <c r="H79" s="1145" t="s">
        <v>849</v>
      </c>
      <c r="I79" s="1145"/>
      <c r="J79" s="1163" t="s">
        <v>1346</v>
      </c>
      <c r="K79" s="1162"/>
    </row>
    <row r="80" spans="2:11" s="314" customFormat="1" ht="35.4" customHeight="1" outlineLevel="1" x14ac:dyDescent="0.3">
      <c r="B80" s="1060"/>
      <c r="C80" s="1157"/>
      <c r="D80" s="237" t="s">
        <v>786</v>
      </c>
      <c r="E80" s="238" t="s">
        <v>787</v>
      </c>
      <c r="F80" s="237" t="s">
        <v>33</v>
      </c>
      <c r="G80" s="362" t="s">
        <v>522</v>
      </c>
      <c r="H80" s="238" t="s">
        <v>1610</v>
      </c>
      <c r="I80" s="237" t="s">
        <v>33</v>
      </c>
      <c r="J80" s="1163"/>
      <c r="K80" s="1162"/>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outlineLevel="1" x14ac:dyDescent="0.3">
      <c r="B82" s="558"/>
      <c r="C82" s="558"/>
      <c r="D82" s="560"/>
      <c r="E82" s="559"/>
      <c r="F82" s="549" t="str">
        <f>IF(C82=FAEF!$B$65,"kgCO2e/kg subst.",IF(C82=FAEF!$B$74,"kgCO2e/kg "&amp;D82,""))</f>
        <v/>
      </c>
      <c r="G82" s="562"/>
      <c r="H82" s="993"/>
      <c r="I82" s="619" t="str">
        <f>IFERROR(IF(VLOOKUP(C82,FAEF!B59:E74,4,FALSE)="","",VLOOKUP(C82,FAEF!B59:E74,4,FALSE)),"")</f>
        <v/>
      </c>
      <c r="J82" s="995" t="str">
        <f>IFERROR(IF(AND(G82="",H82=""),"",FAEF!X111/1000),"")</f>
        <v/>
      </c>
      <c r="K82" s="434"/>
    </row>
    <row r="83" spans="1:11" ht="17.399999999999999"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17.399999999999999"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17.399999999999999"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17.399999999999999"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f>IFERROR(IF(VLOOKUP(C119,FAEF!B96:E111,4,FALSE)="","",VLOOKUP(C119,FAEF!B96:E111,4,FALSE)),"")</f>
        <v>0</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0</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58" t="s">
        <v>612</v>
      </c>
      <c r="F187" s="1082"/>
      <c r="G187" s="1083"/>
    </row>
    <row r="188" spans="2:11" x14ac:dyDescent="0.3">
      <c r="D188" s="169"/>
      <c r="E188" s="282" t="str">
        <f>'Combustão Móvel'!E559</f>
        <v>Construção ou fase preparatória</v>
      </c>
      <c r="F188" s="283" t="s">
        <v>37</v>
      </c>
      <c r="G188" s="208" t="s">
        <v>264</v>
      </c>
    </row>
    <row r="189" spans="2:11" ht="18" x14ac:dyDescent="0.3">
      <c r="B189" s="1158" t="s">
        <v>1280</v>
      </c>
      <c r="C189" s="1082"/>
      <c r="D189" s="1083"/>
      <c r="E189" s="824">
        <f>SUMIF($B$44:$B$64,E$188,$K$44:$K$64)/1000+SUMIF($B$82:$B$181,E$188,$J$82:$J$181)</f>
        <v>0</v>
      </c>
      <c r="F189" s="824">
        <f>SUMIF($B$44:$B$64,F$188,$K$44:$K$64)/1000+SUMIF($B$82:$B$181,F$188,$J$82:$J$181)</f>
        <v>0</v>
      </c>
      <c r="G189" s="824">
        <f>SUMIF($B$44:$B$64,G$188,$K$44:$K$64)/1000+SUMIF($B$82:$B$181,G$188,$J$82:$J$181)</f>
        <v>0</v>
      </c>
      <c r="H189" s="285" t="s">
        <v>41</v>
      </c>
    </row>
    <row r="190" spans="2:11" ht="18" x14ac:dyDescent="0.3">
      <c r="B190" s="1158" t="s">
        <v>1347</v>
      </c>
      <c r="C190" s="1082"/>
      <c r="D190" s="1083"/>
      <c r="E190" s="824">
        <f>IF('Dados gerais'!$F$33="", 2*E189, 'Dados gerais'!$F$33*E189)</f>
        <v>0</v>
      </c>
      <c r="F190" s="824">
        <f>IF('Dados gerais'!$F$34="", 10*F189, 'Dados gerais'!$F$34*F189)</f>
        <v>0</v>
      </c>
      <c r="G190" s="824">
        <f>IF('Dados gerais'!$F$35="", 1*G189, 'Dados gerais'!$F$35*G189)</f>
        <v>0</v>
      </c>
      <c r="H190" s="825">
        <f>SUM(E190:G190)</f>
        <v>0</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 ref="D7:H7"/>
    <mergeCell ref="B9:N9"/>
    <mergeCell ref="D40:E40"/>
    <mergeCell ref="G40:H42"/>
    <mergeCell ref="I40:I42"/>
    <mergeCell ref="J40:J42"/>
    <mergeCell ref="C40:C42"/>
    <mergeCell ref="B40:B42"/>
    <mergeCell ref="K40:K42"/>
  </mergeCells>
  <phoneticPr fontId="28" type="noConversion"/>
  <conditionalFormatting sqref="G44:G64">
    <cfRule type="expression" dxfId="76" priority="25">
      <formula>F44="Não"</formula>
    </cfRule>
  </conditionalFormatting>
  <conditionalFormatting sqref="H43:H64">
    <cfRule type="expression" dxfId="68"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75" t="s">
        <v>771</v>
      </c>
      <c r="I15" s="89" t="s">
        <v>776</v>
      </c>
      <c r="J15" s="89" t="s">
        <v>777</v>
      </c>
    </row>
    <row r="16" spans="1:16" ht="15" customHeight="1" thickTop="1" x14ac:dyDescent="0.3">
      <c r="C16" s="44" t="s">
        <v>258</v>
      </c>
      <c r="D16" s="1182" t="s">
        <v>775</v>
      </c>
      <c r="E16" s="444" t="s">
        <v>260</v>
      </c>
      <c r="F16" s="445" t="s">
        <v>262</v>
      </c>
      <c r="G16" s="92"/>
      <c r="H16" s="1176"/>
      <c r="I16" s="89"/>
      <c r="J16" s="89"/>
    </row>
    <row r="17" spans="3:19" ht="32.4" customHeight="1" thickBot="1" x14ac:dyDescent="0.35">
      <c r="C17" s="45"/>
      <c r="D17" s="1183"/>
      <c r="E17" s="446" t="s">
        <v>261</v>
      </c>
      <c r="F17" s="447" t="s">
        <v>263</v>
      </c>
      <c r="G17" s="93" t="s">
        <v>779</v>
      </c>
      <c r="H17" s="1177"/>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34" t="s">
        <v>36</v>
      </c>
      <c r="D28" s="1172" t="s">
        <v>188</v>
      </c>
      <c r="E28" s="1172" t="s">
        <v>758</v>
      </c>
      <c r="F28" s="1172" t="s">
        <v>759</v>
      </c>
      <c r="G28" s="1178"/>
      <c r="H28" s="1179"/>
      <c r="I28" s="1134"/>
      <c r="J28" s="1134" t="s">
        <v>762</v>
      </c>
      <c r="K28" s="1134" t="s">
        <v>765</v>
      </c>
      <c r="L28" s="1164" t="str">
        <f>D16</f>
        <v>Perdas em Carga das unidades novas</v>
      </c>
      <c r="M28" s="1164" t="s">
        <v>763</v>
      </c>
      <c r="N28" s="1168" t="s">
        <v>764</v>
      </c>
      <c r="O28" s="1164" t="s">
        <v>767</v>
      </c>
      <c r="P28" s="1168" t="s">
        <v>766</v>
      </c>
      <c r="Q28" s="1164" t="s">
        <v>768</v>
      </c>
      <c r="R28" s="1168" t="s">
        <v>769</v>
      </c>
      <c r="S28" s="1168" t="s">
        <v>770</v>
      </c>
    </row>
    <row r="29" spans="3:19" ht="16.95" customHeight="1" x14ac:dyDescent="0.3">
      <c r="C29" s="1135"/>
      <c r="D29" s="1173"/>
      <c r="E29" s="1173"/>
      <c r="F29" s="1173"/>
      <c r="G29" s="1180"/>
      <c r="H29" s="1181"/>
      <c r="I29" s="1135"/>
      <c r="J29" s="1135"/>
      <c r="K29" s="1135"/>
      <c r="L29" s="1165"/>
      <c r="M29" s="1165"/>
      <c r="N29" s="1168"/>
      <c r="O29" s="1165"/>
      <c r="P29" s="1168"/>
      <c r="Q29" s="1165"/>
      <c r="R29" s="1168"/>
      <c r="S29" s="1168"/>
    </row>
    <row r="30" spans="3:19" ht="17.399999999999999" x14ac:dyDescent="0.3">
      <c r="C30" s="1167"/>
      <c r="D30" s="1174"/>
      <c r="E30" s="1174"/>
      <c r="F30" s="1174"/>
      <c r="G30" s="28" t="s">
        <v>760</v>
      </c>
      <c r="H30" s="28" t="s">
        <v>43</v>
      </c>
      <c r="I30" s="28" t="s">
        <v>761</v>
      </c>
      <c r="J30" s="1167"/>
      <c r="K30" s="1167"/>
      <c r="L30" s="1166"/>
      <c r="M30" s="1166"/>
      <c r="N30" s="1168"/>
      <c r="O30" s="1166"/>
      <c r="P30" s="1168"/>
      <c r="Q30" s="1166"/>
      <c r="R30" s="1168"/>
      <c r="S30" s="1168"/>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69" t="s">
        <v>862</v>
      </c>
      <c r="P109" s="1170"/>
      <c r="Q109" s="1171" t="str">
        <f>B69</f>
        <v>Produção de TFT-FPDs</v>
      </c>
      <c r="R109" s="1171"/>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f>'Emissões Fugitivas'!B82</f>
        <v>0</v>
      </c>
      <c r="C111" s="109">
        <f>'Emissões Fugitivas'!C82</f>
        <v>0</v>
      </c>
      <c r="D111" s="109">
        <f>'Emissões Fugitivas'!D82</f>
        <v>0</v>
      </c>
      <c r="E111" s="109">
        <f>'Emissões Fugitivas'!E82</f>
        <v>0</v>
      </c>
      <c r="F111" s="109" t="str">
        <f>'Emissões Fugitivas'!F82</f>
        <v/>
      </c>
      <c r="G111" s="109">
        <f>'Emissões Fugitivas'!G82</f>
        <v>0</v>
      </c>
      <c r="H111" s="109">
        <f>'Emissões Fugitivas'!H82</f>
        <v>0</v>
      </c>
      <c r="I111" s="109" t="str">
        <f>'Emissões Fugitivas'!I82</f>
        <v/>
      </c>
      <c r="J111" s="22" t="e">
        <f>IF(VLOOKUP(B111,'Dados gerais'!$D$33:$F$35,3,FALSE)="",2,VLOOKUP(B111,'Dados gerais'!$D$33:$F$35,3,FALSE))</f>
        <v>#N/A</v>
      </c>
      <c r="K111" s="22" t="str">
        <f>IF(C111=$B$66,$E$81,IF(C111=$B$67,$E$85,""))</f>
        <v/>
      </c>
      <c r="L111" s="22" t="str">
        <f>IF(C111=$B$66,$E$82,IF(C111=$B$67,$E$86,""))</f>
        <v/>
      </c>
      <c r="M111" s="22" t="str">
        <f>IF(C111=$B$66,$E$83,IF(C111=$B$67,$E$87,""))</f>
        <v/>
      </c>
      <c r="N111" s="114" t="str">
        <f>IFERROR(L111*H111+(K111+M111)*H111/J111,"")</f>
        <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t="e">
        <f>IF(VLOOKUP(C111,$B$59:$D$74,3,FALSE)="",E111,VLOOKUP(C111,$B$59:$D$74,3,FALSE))</f>
        <v>#N/A</v>
      </c>
      <c r="X111" s="22">
        <f>IF(V111="",SUM(N111:U111),V111*W111)</f>
        <v>0</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f>'Emissões Fugitivas'!I119</f>
        <v>0</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C28:C30"/>
    <mergeCell ref="D28:D30"/>
    <mergeCell ref="E28:E30"/>
    <mergeCell ref="I28:I29"/>
    <mergeCell ref="H15:H17"/>
    <mergeCell ref="G28:H29"/>
    <mergeCell ref="F28:F30"/>
    <mergeCell ref="D16:D17"/>
    <mergeCell ref="O109:P109"/>
    <mergeCell ref="Q109:R109"/>
    <mergeCell ref="P28:P30"/>
    <mergeCell ref="R28:R30"/>
    <mergeCell ref="S28:S30"/>
    <mergeCell ref="L28:L30"/>
    <mergeCell ref="M28:M30"/>
    <mergeCell ref="O28:O30"/>
    <mergeCell ref="Q28:Q30"/>
    <mergeCell ref="J28:J30"/>
    <mergeCell ref="K28:K30"/>
    <mergeCell ref="N28:N30"/>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20" zoomScale="55" zoomScaleNormal="55" workbookViewId="0">
      <selection activeCell="C35" sqref="C35"/>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75" t="str">
        <f>IF(Triagem!C32="", "Não indicou na TRIAGEM se esta folha se adequa ao projeto", IF(Triagem!C32="Não", "Não necessita de preencher esta folha", "Folha a ser preenchida"))</f>
        <v>Não indicou na TRIAGEM se esta folha se adequa ao projeto</v>
      </c>
      <c r="E8" s="1075"/>
      <c r="F8" s="1075"/>
      <c r="G8" s="1075"/>
      <c r="H8" s="1075"/>
    </row>
    <row r="9" spans="2:17" x14ac:dyDescent="0.3"/>
    <row r="10" spans="2:17" x14ac:dyDescent="0.3"/>
    <row r="11" spans="2:17" ht="18" x14ac:dyDescent="0.35">
      <c r="B11" s="373" t="s">
        <v>622</v>
      </c>
    </row>
    <row r="12" spans="2:17" ht="44.4" customHeight="1" x14ac:dyDescent="0.3">
      <c r="B12" s="1187" t="s">
        <v>1172</v>
      </c>
      <c r="C12" s="1187"/>
      <c r="D12" s="1187"/>
      <c r="E12" s="1187"/>
      <c r="F12" s="1187"/>
      <c r="G12" s="1187"/>
      <c r="H12" s="1187"/>
      <c r="I12" s="1187"/>
      <c r="J12" s="1187"/>
    </row>
    <row r="13" spans="2:17" ht="13.95" customHeight="1" x14ac:dyDescent="0.3">
      <c r="B13" s="1187" t="s">
        <v>1395</v>
      </c>
      <c r="C13" s="1187"/>
      <c r="D13" s="1187"/>
      <c r="E13" s="1187"/>
      <c r="F13" s="1187"/>
      <c r="G13" s="1187"/>
      <c r="H13" s="1187"/>
      <c r="I13" s="1187"/>
      <c r="J13" s="1187"/>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61" t="s">
        <v>1385</v>
      </c>
      <c r="C23" s="1161"/>
      <c r="D23" s="1161"/>
      <c r="E23" s="1161"/>
      <c r="F23" s="1161"/>
      <c r="G23" s="1161"/>
      <c r="H23" s="1161"/>
      <c r="I23" s="1161"/>
      <c r="J23" s="1161"/>
      <c r="K23" s="1161"/>
      <c r="L23" s="1161"/>
      <c r="M23" s="1161"/>
      <c r="N23" s="1161"/>
      <c r="O23" s="1161"/>
      <c r="P23" s="1161"/>
      <c r="Q23" s="1161"/>
      <c r="R23" s="232"/>
      <c r="S23" s="232"/>
      <c r="T23" s="232"/>
      <c r="U23" s="232"/>
      <c r="V23" s="232"/>
      <c r="W23" s="232"/>
      <c r="X23" s="232"/>
      <c r="Y23" s="232"/>
      <c r="Z23" s="232"/>
      <c r="AA23" s="233"/>
    </row>
    <row r="24" spans="2:27" ht="21" customHeight="1" x14ac:dyDescent="0.3">
      <c r="B24" s="1161" t="s">
        <v>1386</v>
      </c>
      <c r="C24" s="1161"/>
      <c r="D24" s="1161"/>
      <c r="E24" s="1161"/>
      <c r="F24" s="1161"/>
      <c r="G24" s="1161"/>
      <c r="H24" s="1161"/>
      <c r="I24" s="1161"/>
      <c r="J24" s="1161"/>
      <c r="K24" s="1161"/>
      <c r="L24" s="1161"/>
      <c r="M24" s="1161"/>
      <c r="N24" s="1161"/>
      <c r="O24" s="1161"/>
      <c r="P24" s="1161"/>
      <c r="Q24" s="230"/>
      <c r="R24" s="232"/>
      <c r="S24" s="232"/>
      <c r="T24" s="232"/>
      <c r="U24" s="232"/>
      <c r="V24" s="232"/>
      <c r="W24" s="232"/>
      <c r="X24" s="232"/>
      <c r="Y24" s="232"/>
      <c r="Z24" s="232"/>
      <c r="AA24" s="233"/>
    </row>
    <row r="25" spans="2:27" ht="20.399999999999999" customHeight="1" x14ac:dyDescent="0.3">
      <c r="B25" s="1161" t="s">
        <v>1387</v>
      </c>
      <c r="C25" s="1161"/>
      <c r="D25" s="1161"/>
      <c r="E25" s="1161"/>
      <c r="F25" s="1161"/>
      <c r="G25" s="1161"/>
      <c r="H25" s="1161"/>
      <c r="I25" s="1161"/>
      <c r="J25" s="1161"/>
      <c r="K25" s="1161"/>
      <c r="L25" s="1161"/>
      <c r="M25" s="1161"/>
      <c r="N25" s="1161"/>
      <c r="O25" s="1161"/>
      <c r="P25" s="1161"/>
      <c r="Q25" s="230"/>
      <c r="R25" s="232"/>
      <c r="S25" s="232"/>
      <c r="T25" s="232"/>
      <c r="U25" s="232"/>
      <c r="V25" s="232"/>
      <c r="W25" s="232"/>
      <c r="X25" s="232"/>
      <c r="Y25" s="232"/>
      <c r="Z25" s="232"/>
      <c r="AA25" s="233"/>
    </row>
    <row r="26" spans="2:27" ht="20.399999999999999" customHeight="1" x14ac:dyDescent="0.3">
      <c r="B26" s="1161" t="s">
        <v>1388</v>
      </c>
      <c r="C26" s="1161"/>
      <c r="D26" s="1161"/>
      <c r="E26" s="1161"/>
      <c r="F26" s="1161"/>
      <c r="G26" s="1161"/>
      <c r="H26" s="1161"/>
      <c r="I26" s="1161"/>
      <c r="J26" s="1161"/>
      <c r="K26" s="1161"/>
      <c r="L26" s="1161"/>
      <c r="M26" s="1161"/>
      <c r="N26" s="1161"/>
      <c r="O26" s="1161"/>
      <c r="P26" s="1161"/>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58" t="s">
        <v>896</v>
      </c>
      <c r="C31" s="1058" t="s">
        <v>897</v>
      </c>
      <c r="D31" s="1058" t="s">
        <v>898</v>
      </c>
      <c r="E31" s="1058" t="s">
        <v>912</v>
      </c>
      <c r="F31" s="1159" t="s">
        <v>902</v>
      </c>
      <c r="G31" s="1159"/>
      <c r="H31" s="1159"/>
      <c r="I31" s="1145" t="s">
        <v>1390</v>
      </c>
      <c r="J31" s="1145"/>
      <c r="K31" s="1145"/>
      <c r="L31" s="238" t="s">
        <v>1276</v>
      </c>
      <c r="M31" s="1184" t="s">
        <v>1277</v>
      </c>
      <c r="N31" s="1185"/>
      <c r="O31" s="1186"/>
      <c r="P31" s="1076" t="s">
        <v>937</v>
      </c>
      <c r="Q31" s="1058" t="s">
        <v>1279</v>
      </c>
    </row>
    <row r="32" spans="2:27" ht="62.4" x14ac:dyDescent="0.3">
      <c r="B32" s="1060"/>
      <c r="C32" s="1060"/>
      <c r="D32" s="1060"/>
      <c r="E32" s="1060"/>
      <c r="F32" s="237" t="s">
        <v>784</v>
      </c>
      <c r="G32" s="237" t="s">
        <v>30</v>
      </c>
      <c r="H32" s="237" t="s">
        <v>30</v>
      </c>
      <c r="I32" s="237" t="s">
        <v>751</v>
      </c>
      <c r="J32" s="238" t="s">
        <v>914</v>
      </c>
      <c r="K32" s="238" t="s">
        <v>936</v>
      </c>
      <c r="L32" s="238" t="s">
        <v>1391</v>
      </c>
      <c r="M32" s="237" t="s">
        <v>1392</v>
      </c>
      <c r="N32" s="237" t="s">
        <v>1393</v>
      </c>
      <c r="O32" s="237" t="s">
        <v>1394</v>
      </c>
      <c r="P32" s="1078"/>
      <c r="Q32" s="1060"/>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58" t="s">
        <v>612</v>
      </c>
      <c r="G140" s="1082"/>
      <c r="H140" s="1083"/>
    </row>
    <row r="141" spans="2:18" s="357" customFormat="1" ht="47.4" customHeight="1" x14ac:dyDescent="0.3">
      <c r="F141" s="370" t="str">
        <f>'Emissões Fugitivas'!E188</f>
        <v>Construção ou fase preparatória</v>
      </c>
      <c r="G141" s="371" t="s">
        <v>37</v>
      </c>
      <c r="H141" s="372" t="s">
        <v>264</v>
      </c>
    </row>
    <row r="142" spans="2:18" ht="18" x14ac:dyDescent="0.3">
      <c r="C142" s="1158" t="s">
        <v>1280</v>
      </c>
      <c r="D142" s="1082"/>
      <c r="E142" s="1083"/>
      <c r="F142" s="825">
        <f>SUMIF(FAEI!$D$26:$D$125,FAEI!$A$10,FAEI!$Q$26:$Q$125)</f>
        <v>0</v>
      </c>
      <c r="G142" s="825">
        <f>SUMIF(FAEI!$D$26:$D$125,FAEI!$A$11,FAEI!$Q$26:$Q$125)</f>
        <v>0</v>
      </c>
      <c r="H142" s="825">
        <f>SUMIF(FAEI!$D$26:$D$125,FAEI!$A$12,FAEI!$Q$26:$Q$125)</f>
        <v>0</v>
      </c>
      <c r="I142" s="285" t="s">
        <v>41</v>
      </c>
    </row>
    <row r="143" spans="2:18" ht="18" x14ac:dyDescent="0.3">
      <c r="C143" s="1158" t="s">
        <v>1281</v>
      </c>
      <c r="D143" s="1082"/>
      <c r="E143" s="1083"/>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B12:J12"/>
    <mergeCell ref="B13:J13"/>
    <mergeCell ref="D8:H8"/>
    <mergeCell ref="F140:H140"/>
    <mergeCell ref="I31:K31"/>
    <mergeCell ref="B24:P24"/>
    <mergeCell ref="B26:P26"/>
    <mergeCell ref="B23:Q23"/>
    <mergeCell ref="Q31:Q32"/>
    <mergeCell ref="C142:E142"/>
    <mergeCell ref="C143:E143"/>
    <mergeCell ref="B25:P25"/>
    <mergeCell ref="B31:B32"/>
    <mergeCell ref="C31:C32"/>
    <mergeCell ref="D31:D32"/>
    <mergeCell ref="E31:E32"/>
    <mergeCell ref="F31:H31"/>
    <mergeCell ref="M31:O31"/>
    <mergeCell ref="P31:P32"/>
  </mergeCells>
  <conditionalFormatting sqref="J34:J133">
    <cfRule type="expression" dxfId="56" priority="1">
      <formula>OR($L34&gt;0,$M34&gt;0,$N34&gt;0,$O34&gt;0)</formula>
    </cfRule>
  </conditionalFormatting>
  <conditionalFormatting sqref="K34:K133">
    <cfRule type="expression" dxfId="55" priority="3">
      <formula>$J34=""</formula>
    </cfRule>
  </conditionalFormatting>
  <conditionalFormatting sqref="L34:L133">
    <cfRule type="expression" dxfId="54" priority="31" stopIfTrue="1">
      <formula>OR($J34&gt;0,$M34&gt;0,$N34&gt;0,$O34&gt;0)</formula>
    </cfRule>
  </conditionalFormatting>
  <conditionalFormatting sqref="M34:O133">
    <cfRule type="expression" dxfId="52" priority="32" stopIfTrue="1">
      <formula>OR($J34&gt;0,$L34&gt;0)</formula>
    </cfRule>
  </conditionalFormatting>
  <conditionalFormatting sqref="P34:P133">
    <cfRule type="expression" dxfId="51"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88" t="s">
        <v>36</v>
      </c>
      <c r="F11" s="1189"/>
      <c r="G11" s="1190"/>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34" t="s">
        <v>896</v>
      </c>
      <c r="E24" s="1134" t="s">
        <v>897</v>
      </c>
      <c r="F24" s="1134" t="s">
        <v>898</v>
      </c>
      <c r="G24" s="1134" t="s">
        <v>912</v>
      </c>
      <c r="H24" s="1191" t="s">
        <v>902</v>
      </c>
      <c r="I24" s="1191"/>
      <c r="J24" s="1191"/>
      <c r="K24" s="1192" t="s">
        <v>913</v>
      </c>
      <c r="L24" s="1193"/>
      <c r="M24" s="1191" t="s">
        <v>916</v>
      </c>
      <c r="N24" s="1191"/>
      <c r="O24" s="1191"/>
      <c r="P24" s="1191"/>
      <c r="Q24" s="1134" t="s">
        <v>50</v>
      </c>
    </row>
    <row r="25" spans="4:17" ht="57.6" x14ac:dyDescent="0.3">
      <c r="D25" s="1167"/>
      <c r="E25" s="1167"/>
      <c r="F25" s="1167"/>
      <c r="G25" s="1167"/>
      <c r="H25" s="119" t="s">
        <v>784</v>
      </c>
      <c r="I25" s="119" t="s">
        <v>30</v>
      </c>
      <c r="J25" s="119" t="s">
        <v>30</v>
      </c>
      <c r="K25" s="119" t="s">
        <v>751</v>
      </c>
      <c r="L25" s="120" t="s">
        <v>914</v>
      </c>
      <c r="M25" s="119" t="s">
        <v>917</v>
      </c>
      <c r="N25" s="119" t="s">
        <v>918</v>
      </c>
      <c r="O25" s="119" t="s">
        <v>919</v>
      </c>
      <c r="P25" s="119" t="s">
        <v>920</v>
      </c>
      <c r="Q25" s="1167"/>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abSelected="1" topLeftCell="A200" zoomScale="90" zoomScaleNormal="90" workbookViewId="0">
      <selection activeCell="K210" sqref="K210"/>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75" t="str">
        <f>IF(Triagem!C33="", "Não indicou na TRIAGEM se esta folha se adequa ao projeto", IF(Triagem!C33="Não", "Não necessita de preencher esta folha", "Folha a ser preenchida"))</f>
        <v>Folha a ser preenchida</v>
      </c>
      <c r="E8" s="1075"/>
      <c r="F8" s="1075"/>
      <c r="G8" s="1075"/>
      <c r="H8" s="1075"/>
    </row>
    <row r="9" spans="2:11" ht="15.6" x14ac:dyDescent="0.3"/>
    <row r="10" spans="2:11" ht="15.6" outlineLevel="1" x14ac:dyDescent="0.3"/>
    <row r="11" spans="2:11" ht="42" customHeight="1" outlineLevel="1" x14ac:dyDescent="0.3">
      <c r="B11" s="1187" t="s">
        <v>1119</v>
      </c>
      <c r="C11" s="1187"/>
      <c r="D11" s="1187"/>
      <c r="E11" s="1187"/>
      <c r="F11" s="1187"/>
      <c r="G11" s="1187"/>
      <c r="H11" s="1187"/>
      <c r="I11" s="1187"/>
      <c r="J11" s="1187"/>
      <c r="K11" s="343"/>
    </row>
    <row r="12" spans="2:11" ht="20.399999999999999" customHeight="1" outlineLevel="1" x14ac:dyDescent="0.3">
      <c r="B12" s="1187" t="s">
        <v>1133</v>
      </c>
      <c r="C12" s="1187"/>
      <c r="D12" s="1187"/>
      <c r="E12" s="1187"/>
      <c r="F12" s="1187"/>
      <c r="G12" s="1187"/>
      <c r="H12" s="1187"/>
      <c r="I12" s="1187"/>
      <c r="J12" s="1187"/>
      <c r="K12" s="1187"/>
    </row>
    <row r="13" spans="2:11" ht="15.6" outlineLevel="1" x14ac:dyDescent="0.3">
      <c r="B13" s="1196" t="s">
        <v>1134</v>
      </c>
      <c r="C13" s="1196"/>
      <c r="D13" s="1196"/>
      <c r="E13" s="1196"/>
      <c r="F13" s="1196"/>
      <c r="G13" s="1196"/>
      <c r="H13" s="1196"/>
      <c r="I13" s="1196"/>
      <c r="J13" s="1196"/>
      <c r="K13" s="1196"/>
    </row>
    <row r="14" spans="2:11" ht="30.75" customHeight="1" outlineLevel="1" x14ac:dyDescent="0.3">
      <c r="B14" s="1201" t="s">
        <v>1571</v>
      </c>
      <c r="C14" s="1201"/>
      <c r="D14" s="1201"/>
      <c r="E14" s="1201"/>
      <c r="F14" s="1201"/>
      <c r="G14" s="1201"/>
      <c r="H14" s="1201"/>
      <c r="I14" s="1201"/>
      <c r="J14" s="1201"/>
      <c r="K14" s="343"/>
    </row>
    <row r="15" spans="2:11" ht="21.6" customHeight="1" outlineLevel="1" x14ac:dyDescent="0.3">
      <c r="B15" s="1196" t="s">
        <v>1572</v>
      </c>
      <c r="C15" s="1196"/>
      <c r="D15" s="1196"/>
      <c r="E15" s="1196"/>
      <c r="F15" s="1196"/>
      <c r="G15" s="1196"/>
      <c r="H15" s="1196"/>
      <c r="I15" s="1196"/>
      <c r="J15" s="1196"/>
      <c r="K15" s="1196"/>
    </row>
    <row r="16" spans="2:11" ht="42" customHeight="1" outlineLevel="1" x14ac:dyDescent="0.3">
      <c r="B16" s="1201" t="s">
        <v>1573</v>
      </c>
      <c r="C16" s="1201"/>
      <c r="D16" s="1201"/>
      <c r="E16" s="1201"/>
      <c r="F16" s="1201"/>
      <c r="G16" s="1201"/>
      <c r="H16" s="1201"/>
      <c r="I16" s="1201"/>
      <c r="J16" s="1201"/>
      <c r="K16" s="343"/>
    </row>
    <row r="17" spans="2:27" ht="15.6" outlineLevel="1" x14ac:dyDescent="0.3">
      <c r="B17" s="1196" t="s">
        <v>1129</v>
      </c>
      <c r="C17" s="1196"/>
      <c r="D17" s="1196"/>
      <c r="E17" s="1196"/>
      <c r="F17" s="1196"/>
      <c r="G17" s="1196"/>
      <c r="H17" s="1196"/>
      <c r="I17" s="1196"/>
      <c r="J17" s="1196"/>
      <c r="K17" s="1196"/>
    </row>
    <row r="18" spans="2:27" ht="15.6" outlineLevel="1" x14ac:dyDescent="0.3">
      <c r="B18" s="1202" t="s">
        <v>1185</v>
      </c>
      <c r="C18" s="1202"/>
      <c r="D18" s="1202"/>
      <c r="E18" s="1202"/>
      <c r="F18" s="1202"/>
      <c r="G18" s="1202"/>
      <c r="H18" s="1202"/>
      <c r="I18" s="1202"/>
      <c r="J18" s="1202"/>
      <c r="K18" s="1202"/>
    </row>
    <row r="19" spans="2:27" ht="22.2" customHeight="1" outlineLevel="1" x14ac:dyDescent="0.3">
      <c r="B19" s="1202" t="s">
        <v>1186</v>
      </c>
      <c r="C19" s="1202"/>
      <c r="D19" s="1202"/>
      <c r="E19" s="1202"/>
      <c r="F19" s="1202"/>
      <c r="G19" s="1202"/>
      <c r="H19" s="1202"/>
      <c r="I19" s="1202"/>
      <c r="J19" s="1202"/>
      <c r="K19" s="1202"/>
    </row>
    <row r="20" spans="2:27" ht="15.6" outlineLevel="1" x14ac:dyDescent="0.3">
      <c r="B20" s="1202" t="s">
        <v>1396</v>
      </c>
      <c r="C20" s="1202"/>
      <c r="D20" s="1202"/>
      <c r="E20" s="1202"/>
      <c r="F20" s="1202"/>
      <c r="G20" s="1202"/>
      <c r="H20" s="1202"/>
      <c r="I20" s="1202"/>
      <c r="J20" s="1202"/>
      <c r="K20" s="1202"/>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48" t="s">
        <v>1137</v>
      </c>
      <c r="C31" s="1048"/>
      <c r="D31" s="1048"/>
      <c r="E31" s="1048"/>
      <c r="F31" s="1048"/>
      <c r="G31" s="1048"/>
      <c r="H31" s="1048"/>
      <c r="I31" s="1048"/>
      <c r="J31" s="1048"/>
      <c r="K31" s="1048"/>
      <c r="L31" s="229"/>
      <c r="M31" s="229"/>
      <c r="N31" s="229"/>
      <c r="O31" s="229"/>
      <c r="P31" s="229"/>
      <c r="Q31" s="230"/>
      <c r="R31" s="230"/>
      <c r="S31" s="230"/>
      <c r="T31" s="234"/>
      <c r="U31" s="234"/>
      <c r="V31" s="234"/>
      <c r="W31" s="234"/>
      <c r="X31" s="234"/>
      <c r="Y31" s="234"/>
      <c r="Z31" s="234"/>
      <c r="AA31" s="234"/>
    </row>
    <row r="32" spans="2:27" ht="19.95" customHeight="1" outlineLevel="1" x14ac:dyDescent="0.3">
      <c r="B32" s="1161" t="s">
        <v>970</v>
      </c>
      <c r="C32" s="1161"/>
      <c r="D32" s="1161"/>
      <c r="E32" s="1161"/>
      <c r="F32" s="1161"/>
      <c r="G32" s="1161"/>
      <c r="H32" s="1161"/>
      <c r="I32" s="1161"/>
      <c r="J32" s="1161"/>
      <c r="K32" s="1161"/>
      <c r="L32" s="1161"/>
      <c r="M32" s="1161"/>
      <c r="N32" s="1161"/>
      <c r="O32" s="1161"/>
      <c r="P32" s="1161"/>
      <c r="Q32" s="230"/>
      <c r="R32" s="230"/>
      <c r="S32" s="230"/>
      <c r="T32" s="234"/>
      <c r="U32" s="234"/>
      <c r="V32" s="234"/>
      <c r="W32" s="234"/>
      <c r="X32" s="234"/>
      <c r="Y32" s="234"/>
      <c r="Z32" s="234"/>
      <c r="AA32" s="234"/>
    </row>
    <row r="33" spans="1:27" ht="19.95" customHeight="1" outlineLevel="1" x14ac:dyDescent="0.3">
      <c r="B33" s="1195" t="s">
        <v>1166</v>
      </c>
      <c r="C33" s="1195"/>
      <c r="D33" s="1195"/>
      <c r="E33" s="1195"/>
      <c r="F33" s="1195"/>
      <c r="G33" s="1195"/>
      <c r="H33" s="1195"/>
      <c r="I33" s="1195"/>
      <c r="J33" s="1195"/>
      <c r="K33" s="1195"/>
      <c r="L33" s="1195"/>
      <c r="M33" s="1195"/>
      <c r="N33" s="1195"/>
      <c r="O33" s="1195"/>
      <c r="P33" s="1195"/>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58" t="s">
        <v>896</v>
      </c>
      <c r="C38" s="1058" t="s">
        <v>897</v>
      </c>
      <c r="D38" s="1058" t="s">
        <v>947</v>
      </c>
      <c r="E38" s="1058" t="s">
        <v>1173</v>
      </c>
      <c r="F38" s="1212" t="s">
        <v>948</v>
      </c>
      <c r="G38" s="1213"/>
      <c r="H38" s="1213"/>
      <c r="I38" s="1213"/>
      <c r="J38" s="1213"/>
      <c r="K38" s="1213"/>
      <c r="L38" s="1213"/>
      <c r="M38" s="1213"/>
      <c r="N38" s="1213"/>
      <c r="O38" s="1213"/>
      <c r="P38" s="1213"/>
      <c r="Q38" s="1213"/>
      <c r="R38" s="1214"/>
      <c r="S38" s="1058" t="s">
        <v>1138</v>
      </c>
    </row>
    <row r="39" spans="1:27" ht="30" customHeight="1" outlineLevel="1" x14ac:dyDescent="0.3">
      <c r="B39" s="1059"/>
      <c r="C39" s="1059"/>
      <c r="D39" s="1059"/>
      <c r="E39" s="1059"/>
      <c r="F39" s="1198" t="s">
        <v>1174</v>
      </c>
      <c r="G39" s="1199"/>
      <c r="H39" s="1199"/>
      <c r="I39" s="1199"/>
      <c r="J39" s="1199"/>
      <c r="K39" s="1199"/>
      <c r="L39" s="1200"/>
      <c r="M39" s="1203" t="s">
        <v>1175</v>
      </c>
      <c r="N39" s="1204"/>
      <c r="O39" s="1205" t="s">
        <v>1176</v>
      </c>
      <c r="P39" s="1206"/>
      <c r="Q39" s="1206"/>
      <c r="R39" s="1206"/>
      <c r="S39" s="1059"/>
    </row>
    <row r="40" spans="1:27" ht="62.4" outlineLevel="1" x14ac:dyDescent="0.3">
      <c r="B40" s="1060"/>
      <c r="C40" s="1060"/>
      <c r="D40" s="1060"/>
      <c r="E40" s="1060"/>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60"/>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48" t="s">
        <v>1192</v>
      </c>
      <c r="C154" s="1048"/>
      <c r="D154" s="1048"/>
      <c r="E154" s="1048"/>
      <c r="F154" s="1048"/>
      <c r="G154" s="1048"/>
      <c r="H154" s="1048"/>
      <c r="I154" s="1048"/>
      <c r="J154" s="1048"/>
      <c r="K154" s="1048"/>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61" t="s">
        <v>1193</v>
      </c>
      <c r="C155" s="1161"/>
      <c r="D155" s="1161"/>
      <c r="E155" s="1161"/>
      <c r="F155" s="1161"/>
      <c r="G155" s="1161"/>
      <c r="H155" s="1161"/>
      <c r="I155" s="1161"/>
      <c r="J155" s="1161"/>
      <c r="K155" s="1161"/>
      <c r="L155" s="1161"/>
      <c r="M155" s="1161"/>
      <c r="N155" s="230"/>
      <c r="O155" s="230"/>
      <c r="P155" s="230"/>
      <c r="Q155" s="230"/>
      <c r="R155" s="230"/>
      <c r="S155" s="230"/>
      <c r="T155" s="230"/>
      <c r="U155" s="230"/>
      <c r="V155" s="230"/>
      <c r="W155" s="230"/>
      <c r="X155" s="234"/>
      <c r="Y155" s="234"/>
      <c r="Z155" s="234"/>
      <c r="AA155" s="234"/>
    </row>
    <row r="156" spans="2:27" ht="35.4" customHeight="1" outlineLevel="1" x14ac:dyDescent="0.3">
      <c r="B156" s="1161" t="s">
        <v>1521</v>
      </c>
      <c r="C156" s="1161"/>
      <c r="D156" s="1161"/>
      <c r="E156" s="1161"/>
      <c r="F156" s="1161"/>
      <c r="G156" s="1161"/>
      <c r="H156" s="1161"/>
      <c r="I156" s="1161"/>
      <c r="J156" s="1161"/>
      <c r="K156" s="1161"/>
      <c r="L156" s="1161"/>
      <c r="M156" s="230"/>
      <c r="N156" s="230"/>
      <c r="O156" s="230"/>
      <c r="P156" s="230"/>
      <c r="Q156" s="230"/>
      <c r="R156" s="230"/>
      <c r="S156" s="230"/>
      <c r="T156" s="230"/>
      <c r="U156" s="230"/>
      <c r="V156" s="230"/>
      <c r="W156" s="230"/>
      <c r="X156" s="234"/>
      <c r="Y156" s="234"/>
      <c r="Z156" s="234"/>
      <c r="AA156" s="234"/>
    </row>
    <row r="157" spans="2:27" ht="21" customHeight="1" outlineLevel="1" x14ac:dyDescent="0.3">
      <c r="B157" s="1195" t="s">
        <v>1247</v>
      </c>
      <c r="C157" s="1195"/>
      <c r="D157" s="1195"/>
      <c r="E157" s="1195"/>
      <c r="F157" s="1195"/>
      <c r="G157" s="1195"/>
      <c r="H157" s="1195"/>
      <c r="I157" s="1195"/>
      <c r="J157" s="1195"/>
      <c r="K157" s="1195"/>
      <c r="L157" s="1195"/>
      <c r="M157" s="1195"/>
      <c r="N157" s="230"/>
      <c r="O157" s="230"/>
      <c r="P157" s="230"/>
      <c r="Q157" s="230"/>
      <c r="R157" s="230"/>
      <c r="S157" s="230"/>
      <c r="T157" s="230"/>
      <c r="U157" s="230"/>
      <c r="V157" s="230"/>
      <c r="W157" s="230"/>
      <c r="X157" s="234"/>
      <c r="Y157" s="234"/>
      <c r="Z157" s="234"/>
      <c r="AA157" s="234"/>
    </row>
    <row r="158" spans="2:27" ht="19.95" customHeight="1" outlineLevel="1" x14ac:dyDescent="0.3">
      <c r="B158" s="1161" t="s">
        <v>1194</v>
      </c>
      <c r="C158" s="1161"/>
      <c r="D158" s="1161"/>
      <c r="E158" s="1161"/>
      <c r="F158" s="1161"/>
      <c r="G158" s="1161"/>
      <c r="H158" s="1161"/>
      <c r="I158" s="1161"/>
      <c r="J158" s="1161"/>
      <c r="K158" s="1161"/>
      <c r="L158" s="1161"/>
      <c r="M158" s="1161"/>
      <c r="N158" s="1161"/>
      <c r="O158" s="1161"/>
      <c r="P158" s="1161"/>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58" t="s">
        <v>896</v>
      </c>
      <c r="C163" s="1058" t="s">
        <v>897</v>
      </c>
      <c r="D163" s="1058" t="s">
        <v>1190</v>
      </c>
      <c r="E163" s="1197" t="s">
        <v>257</v>
      </c>
      <c r="F163" s="1197"/>
      <c r="G163" s="257" t="s">
        <v>1125</v>
      </c>
      <c r="H163" s="1197" t="s">
        <v>1126</v>
      </c>
      <c r="I163" s="1197"/>
      <c r="J163" s="1197"/>
      <c r="K163" s="258" t="s">
        <v>1127</v>
      </c>
      <c r="L163" s="1194" t="s">
        <v>1128</v>
      </c>
      <c r="M163" s="1194"/>
      <c r="N163" s="1194" t="s">
        <v>1196</v>
      </c>
      <c r="O163" s="1194"/>
      <c r="P163" s="1194"/>
      <c r="Q163" s="1194"/>
      <c r="R163" s="1194" t="s">
        <v>1197</v>
      </c>
      <c r="S163" s="1194"/>
      <c r="T163" s="1194"/>
      <c r="U163" s="1194" t="s">
        <v>1198</v>
      </c>
      <c r="V163" s="1194"/>
      <c r="W163" s="1194"/>
      <c r="Z163" s="259"/>
      <c r="AA163" s="259"/>
      <c r="AB163" s="259"/>
      <c r="AC163" s="259"/>
      <c r="AD163" s="259"/>
      <c r="AE163" s="259"/>
      <c r="AF163" s="259"/>
      <c r="AG163" s="259"/>
      <c r="AH163" s="259"/>
      <c r="AI163" s="259"/>
      <c r="AJ163" s="259"/>
      <c r="AK163" s="260"/>
    </row>
    <row r="164" spans="1:37" ht="30" customHeight="1" outlineLevel="1" x14ac:dyDescent="0.3">
      <c r="B164" s="1059"/>
      <c r="C164" s="1059"/>
      <c r="D164" s="1059"/>
      <c r="E164" s="1197" t="s">
        <v>429</v>
      </c>
      <c r="F164" s="1058" t="s">
        <v>1120</v>
      </c>
      <c r="G164" s="1197" t="s">
        <v>1056</v>
      </c>
      <c r="H164" s="1197" t="s">
        <v>1057</v>
      </c>
      <c r="I164" s="1197" t="s">
        <v>1597</v>
      </c>
      <c r="J164" s="1058" t="s">
        <v>949</v>
      </c>
      <c r="K164" s="1197" t="s">
        <v>1122</v>
      </c>
      <c r="L164" s="1058" t="s">
        <v>1055</v>
      </c>
      <c r="M164" s="1159" t="s">
        <v>1195</v>
      </c>
      <c r="N164" s="1076" t="s">
        <v>1143</v>
      </c>
      <c r="O164" s="1076" t="s">
        <v>1144</v>
      </c>
      <c r="P164" s="1076" t="s">
        <v>1121</v>
      </c>
      <c r="Q164" s="1076" t="s">
        <v>1145</v>
      </c>
      <c r="R164" s="1076" t="s">
        <v>1146</v>
      </c>
      <c r="S164" s="1076" t="s">
        <v>1147</v>
      </c>
      <c r="T164" s="1076" t="s">
        <v>1148</v>
      </c>
      <c r="U164" s="1076" t="s">
        <v>1149</v>
      </c>
      <c r="V164" s="1076" t="s">
        <v>1150</v>
      </c>
      <c r="W164" s="1076" t="s">
        <v>1151</v>
      </c>
      <c r="Z164" s="261"/>
      <c r="AA164" s="261"/>
      <c r="AB164" s="261"/>
      <c r="AC164" s="261"/>
      <c r="AD164" s="261"/>
      <c r="AE164" s="261"/>
      <c r="AF164" s="261"/>
      <c r="AG164" s="259"/>
      <c r="AH164" s="259"/>
      <c r="AI164" s="259"/>
      <c r="AJ164" s="259"/>
      <c r="AK164" s="260"/>
    </row>
    <row r="165" spans="1:37" ht="32.25" customHeight="1" outlineLevel="1" x14ac:dyDescent="0.3">
      <c r="B165" s="1060"/>
      <c r="C165" s="1060"/>
      <c r="D165" s="1060"/>
      <c r="E165" s="1197"/>
      <c r="F165" s="1060"/>
      <c r="G165" s="1197"/>
      <c r="H165" s="1197"/>
      <c r="I165" s="1197"/>
      <c r="J165" s="1060"/>
      <c r="K165" s="1197"/>
      <c r="L165" s="1060"/>
      <c r="M165" s="1159"/>
      <c r="N165" s="1078"/>
      <c r="O165" s="1078"/>
      <c r="P165" s="1078"/>
      <c r="Q165" s="1078"/>
      <c r="R165" s="1078"/>
      <c r="S165" s="1078"/>
      <c r="T165" s="1078"/>
      <c r="U165" s="1078"/>
      <c r="V165" s="1078"/>
      <c r="W165" s="1078"/>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46.8" outlineLevel="1" x14ac:dyDescent="0.3">
      <c r="B167" s="269" t="s">
        <v>1077</v>
      </c>
      <c r="C167" s="962" t="s">
        <v>1632</v>
      </c>
      <c r="D167" s="250" t="s">
        <v>1188</v>
      </c>
      <c r="E167" s="249" t="s">
        <v>414</v>
      </c>
      <c r="F167" s="928">
        <f>0.9*2.566</f>
        <v>2.3094000000000001</v>
      </c>
      <c r="G167" s="269"/>
      <c r="H167" s="270"/>
      <c r="I167" s="270"/>
      <c r="J167" s="271"/>
      <c r="K167" s="623"/>
      <c r="L167" s="249"/>
      <c r="M167" s="563"/>
      <c r="N167" s="1002">
        <f>IFERROR(IF(E167=FAAS!$B$81,I167,VLOOKUP(E167,FAAS!$K$113:$L$134,2,FALSE)),"")</f>
        <v>5.3867360532889261</v>
      </c>
      <c r="O167" s="1002">
        <f>IFERROR(N167*F167,"")</f>
        <v>12.440128241465446</v>
      </c>
      <c r="P167" s="1002">
        <f>IFERROR(IF(VLOOKUP(B167,'Dados gerais'!$D$33:$F$35,3,FALSE)="",VLOOKUP('Outras emissões de processo'!B167,'Fatores de Emissão'!$B$12:$E$14,3, FALSE),VLOOKUP(B167,'Dados gerais'!$D$33:$F$35,3,FALSE)),"")</f>
        <v>2.6666666666666665</v>
      </c>
      <c r="Q167" s="1002">
        <f>IFERROR(O167/P167,"")</f>
        <v>4.6650480905495426</v>
      </c>
      <c r="R167" s="575" t="str">
        <f>IFERROR(IF(G167=FAAS!$K$135,'Outras emissões de processo'!I167,VLOOKUP(G167,FAAS!$B$63:$J$82,9,FALSE)),"")</f>
        <v/>
      </c>
      <c r="S167" s="575" t="str">
        <f>IFERROR(R167*K167,"")</f>
        <v/>
      </c>
      <c r="T167" s="575" t="str">
        <f>IFERROR(S167*P167,"")</f>
        <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46.8" outlineLevel="1" x14ac:dyDescent="0.3">
      <c r="B168" s="269" t="s">
        <v>1077</v>
      </c>
      <c r="C168" s="962" t="s">
        <v>1632</v>
      </c>
      <c r="D168" s="250" t="s">
        <v>1188</v>
      </c>
      <c r="E168" s="249" t="s">
        <v>513</v>
      </c>
      <c r="F168" s="928">
        <f>0.1*2.566</f>
        <v>0.25659999999999999</v>
      </c>
      <c r="G168" s="269"/>
      <c r="H168" s="270"/>
      <c r="I168" s="270"/>
      <c r="J168" s="271"/>
      <c r="K168" s="623"/>
      <c r="L168" s="249"/>
      <c r="M168" s="563"/>
      <c r="N168" s="1002">
        <f>IFERROR(IF(E168=FAAS!$B$81,I168,VLOOKUP(E168,FAAS!$K$113:$L$134,2,FALSE)),"")</f>
        <v>79</v>
      </c>
      <c r="O168" s="1002">
        <f>IFERROR(N168*F168,"")</f>
        <v>20.2714</v>
      </c>
      <c r="P168" s="1002">
        <f>IFERROR(IF(VLOOKUP(B168,'Dados gerais'!$D$33:$F$35,3,FALSE)="",VLOOKUP('Outras emissões de processo'!B168,'Fatores de Emissão'!$B$12:$E$14,3, FALSE),VLOOKUP(B168,'Dados gerais'!$D$33:$F$35,3,FALSE)),"")</f>
        <v>2.6666666666666665</v>
      </c>
      <c r="Q168" s="1002">
        <f>IFERROR(O168/P168,"")</f>
        <v>7.6017749999999999</v>
      </c>
      <c r="R168" s="575" t="str">
        <f>IFERROR(IF(G168=FAAS!$K$135,'Outras emissões de processo'!I168,VLOOKUP(G168,FAAS!$B$63:$J$82,9,FALSE)),"")</f>
        <v/>
      </c>
      <c r="S168" s="575" t="str">
        <f t="shared" ref="S168:S231" si="2">IFERROR(R168*K168,"")</f>
        <v/>
      </c>
      <c r="T168" s="575" t="str">
        <f t="shared" ref="T168:T231" si="3">IFERROR(S168*P168,"")</f>
        <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46.8" outlineLevel="1" x14ac:dyDescent="0.3">
      <c r="B169" s="269" t="s">
        <v>1077</v>
      </c>
      <c r="C169" s="962" t="s">
        <v>1633</v>
      </c>
      <c r="D169" s="250" t="s">
        <v>1188</v>
      </c>
      <c r="E169" s="249" t="s">
        <v>414</v>
      </c>
      <c r="F169" s="928">
        <f>0.9*108.875</f>
        <v>97.987499999999997</v>
      </c>
      <c r="G169" s="269"/>
      <c r="H169" s="270"/>
      <c r="I169" s="270"/>
      <c r="J169" s="271"/>
      <c r="K169" s="623"/>
      <c r="L169" s="249"/>
      <c r="M169" s="563"/>
      <c r="N169" s="1002">
        <f>IFERROR(IF(E169=FAAS!$B$81,I169,VLOOKUP(E169,FAAS!$K$113:$L$134,2,FALSE)),"")</f>
        <v>5.3867360532889261</v>
      </c>
      <c r="O169" s="1002">
        <f t="shared" ref="O169:O232" si="6">IFERROR(N169*F169,"")</f>
        <v>527.83279902164861</v>
      </c>
      <c r="P169" s="1002">
        <f>IFERROR(IF(VLOOKUP(B169,'Dados gerais'!$D$33:$F$35,3,FALSE)="",VLOOKUP('Outras emissões de processo'!B169,'Fatores de Emissão'!$B$12:$E$14,3, FALSE),VLOOKUP(B169,'Dados gerais'!$D$33:$F$35,3,FALSE)),"")</f>
        <v>2.6666666666666665</v>
      </c>
      <c r="Q169" s="1002">
        <f t="shared" ref="Q169:Q232" si="7">IFERROR(O169/P169,"")</f>
        <v>197.93729963311824</v>
      </c>
      <c r="R169" s="575" t="str">
        <f>IFERROR(IF(G169=FAAS!$K$135,'Outras emissões de processo'!I169,VLOOKUP(G169,FAAS!$B$63:$J$82,9,FALSE)),"")</f>
        <v/>
      </c>
      <c r="S169" s="575" t="str">
        <f t="shared" si="2"/>
        <v/>
      </c>
      <c r="T169" s="575" t="str">
        <f t="shared" si="3"/>
        <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15.6" outlineLevel="1" x14ac:dyDescent="0.3">
      <c r="B170" s="269" t="s">
        <v>1077</v>
      </c>
      <c r="C170" s="962" t="s">
        <v>1633</v>
      </c>
      <c r="D170" s="250" t="s">
        <v>1188</v>
      </c>
      <c r="E170" s="249" t="s">
        <v>513</v>
      </c>
      <c r="F170" s="928">
        <f>0.1*108.875</f>
        <v>10.887500000000001</v>
      </c>
      <c r="G170" s="269"/>
      <c r="H170" s="270"/>
      <c r="I170" s="270"/>
      <c r="J170" s="271"/>
      <c r="K170" s="623"/>
      <c r="L170" s="249"/>
      <c r="M170" s="563"/>
      <c r="N170" s="1002">
        <f>IFERROR(IF(E170=FAAS!$B$81,I170,VLOOKUP(E170,FAAS!$K$113:$L$134,2,FALSE)),"")</f>
        <v>79</v>
      </c>
      <c r="O170" s="1002">
        <f t="shared" si="6"/>
        <v>860.11250000000007</v>
      </c>
      <c r="P170" s="1002">
        <f>IFERROR(IF(VLOOKUP(B170,'Dados gerais'!$D$33:$F$35,3,FALSE)="",VLOOKUP('Outras emissões de processo'!B170,'Fatores de Emissão'!$B$12:$E$14,3, FALSE),VLOOKUP(B170,'Dados gerais'!$D$33:$F$35,3,FALSE)),"")</f>
        <v>2.6666666666666665</v>
      </c>
      <c r="Q170" s="1002">
        <f t="shared" si="7"/>
        <v>322.54218750000007</v>
      </c>
      <c r="R170" s="575" t="str">
        <f>IFERROR(IF(G170=FAAS!$K$135,'Outras emissões de processo'!I170,VLOOKUP(G170,FAAS!$B$63:$J$82,9,FALSE)),"")</f>
        <v/>
      </c>
      <c r="S170" s="575" t="str">
        <f t="shared" si="2"/>
        <v/>
      </c>
      <c r="T170" s="575" t="str">
        <f t="shared" si="3"/>
        <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46.8" outlineLevel="1" x14ac:dyDescent="0.3">
      <c r="B171" s="269" t="s">
        <v>37</v>
      </c>
      <c r="C171" s="962" t="s">
        <v>1633</v>
      </c>
      <c r="D171" s="250" t="s">
        <v>1189</v>
      </c>
      <c r="E171" s="249"/>
      <c r="F171" s="928"/>
      <c r="G171" s="269" t="s">
        <v>414</v>
      </c>
      <c r="H171" s="270"/>
      <c r="I171" s="270"/>
      <c r="J171" s="271"/>
      <c r="K171" s="623">
        <f>+F169+F170</f>
        <v>108.875</v>
      </c>
      <c r="L171" s="249"/>
      <c r="M171" s="563"/>
      <c r="N171" s="1002" t="str">
        <f>IFERROR(IF(E171=FAAS!$B$81,I171,VLOOKUP(E171,FAAS!$K$113:$L$134,2,FALSE)),"")</f>
        <v/>
      </c>
      <c r="O171" s="1002" t="str">
        <f t="shared" si="6"/>
        <v/>
      </c>
      <c r="P171" s="1002">
        <f>IFERROR(IF(VLOOKUP(B171,'Dados gerais'!$D$33:$F$35,3,FALSE)="",VLOOKUP('Outras emissões de processo'!B171,'Fatores de Emissão'!$B$12:$E$14,3, FALSE),VLOOKUP(B171,'Dados gerais'!$D$33:$F$35,3,FALSE)),"")</f>
        <v>40</v>
      </c>
      <c r="Q171" s="1002" t="str">
        <f t="shared" si="7"/>
        <v/>
      </c>
      <c r="R171" s="575">
        <f>IFERROR(IF(G171=FAAS!$K$135,'Outras emissões de processo'!I171,VLOOKUP(G171,FAAS!$B$63:$J$82,9,FALSE)),"")</f>
        <v>7.0332457953372192</v>
      </c>
      <c r="S171" s="575">
        <f t="shared" si="2"/>
        <v>765.74463596733972</v>
      </c>
      <c r="T171" s="575">
        <f t="shared" si="3"/>
        <v>30629.785438693587</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46.8" outlineLevel="1" x14ac:dyDescent="0.3">
      <c r="B172" s="269" t="s">
        <v>1077</v>
      </c>
      <c r="C172" s="962" t="s">
        <v>1634</v>
      </c>
      <c r="D172" s="250" t="s">
        <v>1188</v>
      </c>
      <c r="E172" s="249" t="s">
        <v>414</v>
      </c>
      <c r="F172" s="928">
        <f>0.9*0.389</f>
        <v>0.35010000000000002</v>
      </c>
      <c r="G172" s="269"/>
      <c r="H172" s="270"/>
      <c r="I172" s="270"/>
      <c r="J172" s="271"/>
      <c r="K172" s="623"/>
      <c r="L172" s="249"/>
      <c r="M172" s="563"/>
      <c r="N172" s="1002">
        <f>IFERROR(IF(E172=FAAS!$B$81,I172,VLOOKUP(E172,FAAS!$K$113:$L$134,2,FALSE)),"")</f>
        <v>5.3867360532889261</v>
      </c>
      <c r="O172" s="1002">
        <f t="shared" si="6"/>
        <v>1.8858962922564531</v>
      </c>
      <c r="P172" s="1002">
        <f>IFERROR(IF(VLOOKUP(B172,'Dados gerais'!$D$33:$F$35,3,FALSE)="",VLOOKUP('Outras emissões de processo'!B172,'Fatores de Emissão'!$B$12:$E$14,3, FALSE),VLOOKUP(B172,'Dados gerais'!$D$33:$F$35,3,FALSE)),"")</f>
        <v>2.6666666666666665</v>
      </c>
      <c r="Q172" s="1002">
        <f t="shared" si="7"/>
        <v>0.70721110959616995</v>
      </c>
      <c r="R172" s="575" t="str">
        <f>IFERROR(IF(G172=FAAS!$K$135,'Outras emissões de processo'!I172,VLOOKUP(G172,FAAS!$B$63:$J$82,9,FALSE)),"")</f>
        <v/>
      </c>
      <c r="S172" s="575" t="str">
        <f t="shared" si="2"/>
        <v/>
      </c>
      <c r="T172" s="575" t="str">
        <f t="shared" si="3"/>
        <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46.8" outlineLevel="1" x14ac:dyDescent="0.3">
      <c r="B173" s="269" t="s">
        <v>1077</v>
      </c>
      <c r="C173" s="962" t="s">
        <v>1634</v>
      </c>
      <c r="D173" s="250" t="s">
        <v>1189</v>
      </c>
      <c r="E173" s="249"/>
      <c r="F173" s="928"/>
      <c r="G173" s="269" t="s">
        <v>513</v>
      </c>
      <c r="H173" s="270"/>
      <c r="I173" s="270"/>
      <c r="J173" s="271"/>
      <c r="K173" s="623">
        <f>0.1*0.389</f>
        <v>3.8900000000000004E-2</v>
      </c>
      <c r="L173" s="249"/>
      <c r="M173" s="563"/>
      <c r="N173" s="1002" t="str">
        <f>IFERROR(IF(E173=FAAS!$B$81,I173,VLOOKUP(E173,FAAS!$K$113:$L$134,2,FALSE)),"")</f>
        <v/>
      </c>
      <c r="O173" s="1002" t="str">
        <f t="shared" si="6"/>
        <v/>
      </c>
      <c r="P173" s="1002">
        <f>IFERROR(IF(VLOOKUP(B173,'Dados gerais'!$D$33:$F$35,3,FALSE)="",VLOOKUP('Outras emissões de processo'!B173,'Fatores de Emissão'!$B$12:$E$14,3, FALSE),VLOOKUP(B173,'Dados gerais'!$D$33:$F$35,3,FALSE)),"")</f>
        <v>2.6666666666666665</v>
      </c>
      <c r="Q173" s="1002" t="str">
        <f t="shared" si="7"/>
        <v/>
      </c>
      <c r="R173" s="575">
        <f>IFERROR(IF(G173=FAAS!$K$135,'Outras emissões de processo'!I173,VLOOKUP(G173,FAAS!$B$63:$J$82,9,FALSE)),"")</f>
        <v>1.1954817405923699</v>
      </c>
      <c r="S173" s="575">
        <f t="shared" si="2"/>
        <v>4.6504239709043195E-2</v>
      </c>
      <c r="T173" s="575">
        <f t="shared" si="3"/>
        <v>0.12401130589078185</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46.8" outlineLevel="1" x14ac:dyDescent="0.3">
      <c r="B174" s="269" t="s">
        <v>37</v>
      </c>
      <c r="C174" s="962" t="s">
        <v>1634</v>
      </c>
      <c r="D174" s="250" t="s">
        <v>1189</v>
      </c>
      <c r="E174" s="249"/>
      <c r="F174" s="928"/>
      <c r="G174" s="269" t="s">
        <v>513</v>
      </c>
      <c r="H174" s="270"/>
      <c r="I174" s="270"/>
      <c r="J174" s="271"/>
      <c r="K174" s="623">
        <v>0.38900000000000001</v>
      </c>
      <c r="L174" s="249"/>
      <c r="M174" s="563"/>
      <c r="N174" s="1002" t="str">
        <f>IFERROR(IF(E174=FAAS!$B$81,I174,VLOOKUP(E174,FAAS!$K$113:$L$134,2,FALSE)),"")</f>
        <v/>
      </c>
      <c r="O174" s="1002" t="str">
        <f t="shared" si="6"/>
        <v/>
      </c>
      <c r="P174" s="1002">
        <f>IFERROR(IF(VLOOKUP(B174,'Dados gerais'!$D$33:$F$35,3,FALSE)="",VLOOKUP('Outras emissões de processo'!B174,'Fatores de Emissão'!$B$12:$E$14,3, FALSE),VLOOKUP(B174,'Dados gerais'!$D$33:$F$35,3,FALSE)),"")</f>
        <v>40</v>
      </c>
      <c r="Q174" s="1002" t="str">
        <f t="shared" si="7"/>
        <v/>
      </c>
      <c r="R174" s="575">
        <f>IFERROR(IF(G174=FAAS!$K$135,'Outras emissões de processo'!I174,VLOOKUP(G174,FAAS!$B$63:$J$82,9,FALSE)),"")</f>
        <v>1.1954817405923699</v>
      </c>
      <c r="S174" s="575">
        <f t="shared" si="2"/>
        <v>0.46504239709043188</v>
      </c>
      <c r="T174" s="575">
        <f t="shared" si="3"/>
        <v>18.601695883617275</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46.8" outlineLevel="1" x14ac:dyDescent="0.3">
      <c r="B175" s="269" t="s">
        <v>1077</v>
      </c>
      <c r="C175" s="962" t="s">
        <v>1635</v>
      </c>
      <c r="D175" s="250" t="s">
        <v>1189</v>
      </c>
      <c r="E175" s="249"/>
      <c r="F175" s="928"/>
      <c r="G175" s="269" t="s">
        <v>414</v>
      </c>
      <c r="H175" s="270"/>
      <c r="I175" s="270"/>
      <c r="J175" s="271"/>
      <c r="K175" s="623">
        <f>0.9*130.957</f>
        <v>117.8613</v>
      </c>
      <c r="L175" s="249"/>
      <c r="M175" s="563"/>
      <c r="N175" s="1002" t="str">
        <f>IFERROR(IF(E175=FAAS!$B$81,I175,VLOOKUP(E175,FAAS!$K$113:$L$134,2,FALSE)),"")</f>
        <v/>
      </c>
      <c r="O175" s="1002" t="str">
        <f t="shared" si="6"/>
        <v/>
      </c>
      <c r="P175" s="1002">
        <f>IFERROR(IF(VLOOKUP(B175,'Dados gerais'!$D$33:$F$35,3,FALSE)="",VLOOKUP('Outras emissões de processo'!B175,'Fatores de Emissão'!$B$12:$E$14,3, FALSE),VLOOKUP(B175,'Dados gerais'!$D$33:$F$35,3,FALSE)),"")</f>
        <v>2.6666666666666665</v>
      </c>
      <c r="Q175" s="1002" t="str">
        <f t="shared" si="7"/>
        <v/>
      </c>
      <c r="R175" s="575">
        <f>IFERROR(IF(G175=FAAS!$K$135,'Outras emissões de processo'!I175,VLOOKUP(G175,FAAS!$B$63:$J$82,9,FALSE)),"")</f>
        <v>7.0332457953372192</v>
      </c>
      <c r="S175" s="575">
        <f t="shared" si="2"/>
        <v>828.94749265797861</v>
      </c>
      <c r="T175" s="575">
        <f t="shared" si="3"/>
        <v>2210.5266470879428</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46.8" outlineLevel="1" x14ac:dyDescent="0.3">
      <c r="B176" s="269" t="s">
        <v>1077</v>
      </c>
      <c r="C176" s="962" t="s">
        <v>1635</v>
      </c>
      <c r="D176" s="250" t="s">
        <v>1189</v>
      </c>
      <c r="E176" s="249"/>
      <c r="F176" s="928"/>
      <c r="G176" s="269" t="s">
        <v>513</v>
      </c>
      <c r="H176" s="270"/>
      <c r="I176" s="270"/>
      <c r="J176" s="271"/>
      <c r="K176" s="623">
        <f>0.1*130.957</f>
        <v>13.095700000000001</v>
      </c>
      <c r="L176" s="249"/>
      <c r="M176" s="563"/>
      <c r="N176" s="1002" t="str">
        <f>IFERROR(IF(E176=FAAS!$B$81,I176,VLOOKUP(E176,FAAS!$K$113:$L$134,2,FALSE)),"")</f>
        <v/>
      </c>
      <c r="O176" s="1002" t="str">
        <f t="shared" si="6"/>
        <v/>
      </c>
      <c r="P176" s="1002">
        <f>IFERROR(IF(VLOOKUP(B176,'Dados gerais'!$D$33:$F$35,3,FALSE)="",VLOOKUP('Outras emissões de processo'!B176,'Fatores de Emissão'!$B$12:$E$14,3, FALSE),VLOOKUP(B176,'Dados gerais'!$D$33:$F$35,3,FALSE)),"")</f>
        <v>2.6666666666666665</v>
      </c>
      <c r="Q176" s="1002" t="str">
        <f t="shared" si="7"/>
        <v/>
      </c>
      <c r="R176" s="575">
        <f>IFERROR(IF(G176=FAAS!$K$135,'Outras emissões de processo'!I176,VLOOKUP(G176,FAAS!$B$63:$J$82,9,FALSE)),"")</f>
        <v>1.1954817405923699</v>
      </c>
      <c r="S176" s="575">
        <f t="shared" si="2"/>
        <v>15.655670230275499</v>
      </c>
      <c r="T176" s="575">
        <f t="shared" si="3"/>
        <v>41.74845394740133</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31.2" outlineLevel="1" x14ac:dyDescent="0.3">
      <c r="B177" s="269" t="s">
        <v>37</v>
      </c>
      <c r="C177" s="962" t="s">
        <v>1635</v>
      </c>
      <c r="D177" s="250" t="s">
        <v>1189</v>
      </c>
      <c r="E177" s="249"/>
      <c r="F177" s="928"/>
      <c r="G177" s="269" t="s">
        <v>414</v>
      </c>
      <c r="H177" s="270"/>
      <c r="I177" s="270"/>
      <c r="J177" s="271"/>
      <c r="K177" s="623">
        <f>+K175</f>
        <v>117.8613</v>
      </c>
      <c r="L177" s="249"/>
      <c r="M177" s="563"/>
      <c r="N177" s="1002" t="str">
        <f>IFERROR(IF(E177=FAAS!$B$81,I177,VLOOKUP(E177,FAAS!$K$113:$L$134,2,FALSE)),"")</f>
        <v/>
      </c>
      <c r="O177" s="1002" t="str">
        <f t="shared" si="6"/>
        <v/>
      </c>
      <c r="P177" s="1002">
        <f>IFERROR(IF(VLOOKUP(B177,'Dados gerais'!$D$33:$F$35,3,FALSE)="",VLOOKUP('Outras emissões de processo'!B177,'Fatores de Emissão'!$B$12:$E$14,3, FALSE),VLOOKUP(B177,'Dados gerais'!$D$33:$F$35,3,FALSE)),"")</f>
        <v>40</v>
      </c>
      <c r="Q177" s="1002" t="str">
        <f t="shared" si="7"/>
        <v/>
      </c>
      <c r="R177" s="575">
        <f>IFERROR(IF(G177=FAAS!$K$135,'Outras emissões de processo'!I177,VLOOKUP(G177,FAAS!$B$63:$J$82,9,FALSE)),"")</f>
        <v>7.0332457953372192</v>
      </c>
      <c r="S177" s="575">
        <f t="shared" si="2"/>
        <v>828.94749265797861</v>
      </c>
      <c r="T177" s="575">
        <f t="shared" si="3"/>
        <v>33157.899706319142</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31.2" outlineLevel="2" x14ac:dyDescent="0.3">
      <c r="B178" s="269" t="s">
        <v>37</v>
      </c>
      <c r="C178" s="962" t="s">
        <v>1635</v>
      </c>
      <c r="D178" s="250" t="s">
        <v>1189</v>
      </c>
      <c r="E178" s="249"/>
      <c r="F178" s="928"/>
      <c r="G178" s="269" t="s">
        <v>513</v>
      </c>
      <c r="H178" s="270"/>
      <c r="I178" s="270"/>
      <c r="J178" s="271"/>
      <c r="K178" s="623">
        <f>+K176</f>
        <v>13.095700000000001</v>
      </c>
      <c r="L178" s="249"/>
      <c r="M178" s="563"/>
      <c r="N178" s="1002" t="str">
        <f>IFERROR(IF(E178=FAAS!$B$81,I178,VLOOKUP(E178,FAAS!$K$113:$L$134,2,FALSE)),"")</f>
        <v/>
      </c>
      <c r="O178" s="1002" t="str">
        <f t="shared" si="6"/>
        <v/>
      </c>
      <c r="P178" s="1002">
        <f>IFERROR(IF(VLOOKUP(B178,'Dados gerais'!$D$33:$F$35,3,FALSE)="",VLOOKUP('Outras emissões de processo'!B178,'Fatores de Emissão'!$B$12:$E$14,3, FALSE),VLOOKUP(B178,'Dados gerais'!$D$33:$F$35,3,FALSE)),"")</f>
        <v>40</v>
      </c>
      <c r="Q178" s="1002" t="str">
        <f t="shared" si="7"/>
        <v/>
      </c>
      <c r="R178" s="575">
        <f>IFERROR(IF(G178=FAAS!$K$135,'Outras emissões de processo'!I178,VLOOKUP(G178,FAAS!$B$63:$J$82,9,FALSE)),"")</f>
        <v>1.1954817405923699</v>
      </c>
      <c r="S178" s="575">
        <f t="shared" si="2"/>
        <v>15.655670230275499</v>
      </c>
      <c r="T178" s="575">
        <f t="shared" si="3"/>
        <v>626.22680921101994</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46.8" outlineLevel="2" x14ac:dyDescent="0.3">
      <c r="B179" s="269" t="s">
        <v>1077</v>
      </c>
      <c r="C179" s="962" t="s">
        <v>1636</v>
      </c>
      <c r="D179" s="250" t="s">
        <v>1188</v>
      </c>
      <c r="E179" s="249" t="s">
        <v>414</v>
      </c>
      <c r="F179" s="928">
        <f>0.9*0.045</f>
        <v>4.0500000000000001E-2</v>
      </c>
      <c r="G179" s="269"/>
      <c r="H179" s="270"/>
      <c r="I179" s="270"/>
      <c r="J179" s="271"/>
      <c r="K179" s="623"/>
      <c r="L179" s="249"/>
      <c r="M179" s="563"/>
      <c r="N179" s="1002">
        <f>IFERROR(IF(E179=FAAS!$B$81,I179,VLOOKUP(E179,FAAS!$K$113:$L$134,2,FALSE)),"")</f>
        <v>5.3867360532889261</v>
      </c>
      <c r="O179" s="1002">
        <f t="shared" si="6"/>
        <v>0.21816281015820152</v>
      </c>
      <c r="P179" s="1002">
        <f>IFERROR(IF(VLOOKUP(B179,'Dados gerais'!$D$33:$F$35,3,FALSE)="",VLOOKUP('Outras emissões de processo'!B179,'Fatores de Emissão'!$B$12:$E$14,3, FALSE),VLOOKUP(B179,'Dados gerais'!$D$33:$F$35,3,FALSE)),"")</f>
        <v>2.6666666666666665</v>
      </c>
      <c r="Q179" s="1002">
        <f t="shared" si="7"/>
        <v>8.1811053809325573E-2</v>
      </c>
      <c r="R179" s="575" t="str">
        <f>IFERROR(IF(G179=FAAS!$K$135,'Outras emissões de processo'!I179,VLOOKUP(G179,FAAS!$B$63:$J$82,9,FALSE)),"")</f>
        <v/>
      </c>
      <c r="S179" s="575" t="str">
        <f t="shared" si="2"/>
        <v/>
      </c>
      <c r="T179" s="575" t="str">
        <f t="shared" si="3"/>
        <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46.8" outlineLevel="2" x14ac:dyDescent="0.3">
      <c r="B180" s="269" t="s">
        <v>1077</v>
      </c>
      <c r="C180" s="962" t="s">
        <v>1636</v>
      </c>
      <c r="D180" s="250" t="s">
        <v>1188</v>
      </c>
      <c r="E180" s="249" t="s">
        <v>513</v>
      </c>
      <c r="F180" s="928">
        <f>0.1*0.045</f>
        <v>4.4999999999999997E-3</v>
      </c>
      <c r="G180" s="269"/>
      <c r="H180" s="270"/>
      <c r="I180" s="270"/>
      <c r="J180" s="271"/>
      <c r="K180" s="623"/>
      <c r="L180" s="249"/>
      <c r="M180" s="563"/>
      <c r="N180" s="1002">
        <f>IFERROR(IF(E180=FAAS!$B$81,I180,VLOOKUP(E180,FAAS!$K$113:$L$134,2,FALSE)),"")</f>
        <v>79</v>
      </c>
      <c r="O180" s="1002">
        <f t="shared" si="6"/>
        <v>0.35549999999999998</v>
      </c>
      <c r="P180" s="1002">
        <f>IFERROR(IF(VLOOKUP(B180,'Dados gerais'!$D$33:$F$35,3,FALSE)="",VLOOKUP('Outras emissões de processo'!B180,'Fatores de Emissão'!$B$12:$E$14,3, FALSE),VLOOKUP(B180,'Dados gerais'!$D$33:$F$35,3,FALSE)),"")</f>
        <v>2.6666666666666665</v>
      </c>
      <c r="Q180" s="1002">
        <f t="shared" si="7"/>
        <v>0.1333125</v>
      </c>
      <c r="R180" s="575" t="str">
        <f>IFERROR(IF(G180=FAAS!$K$135,'Outras emissões de processo'!I180,VLOOKUP(G180,FAAS!$B$63:$J$82,9,FALSE)),"")</f>
        <v/>
      </c>
      <c r="S180" s="575" t="str">
        <f t="shared" si="2"/>
        <v/>
      </c>
      <c r="T180" s="575" t="str">
        <f t="shared" si="3"/>
        <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46.8" outlineLevel="2" x14ac:dyDescent="0.3">
      <c r="B181" s="269" t="s">
        <v>1077</v>
      </c>
      <c r="C181" s="962" t="s">
        <v>1637</v>
      </c>
      <c r="D181" s="250" t="s">
        <v>1188</v>
      </c>
      <c r="E181" s="249" t="s">
        <v>414</v>
      </c>
      <c r="F181" s="928">
        <f>0.9*3.749</f>
        <v>3.3741000000000003</v>
      </c>
      <c r="G181" s="269"/>
      <c r="H181" s="270"/>
      <c r="I181" s="270"/>
      <c r="J181" s="271"/>
      <c r="K181" s="623"/>
      <c r="L181" s="249"/>
      <c r="M181" s="563"/>
      <c r="N181" s="1002">
        <f>IFERROR(IF(E181=FAAS!$B$81,I181,VLOOKUP(E181,FAAS!$K$113:$L$134,2,FALSE)),"")</f>
        <v>5.3867360532889261</v>
      </c>
      <c r="O181" s="1002">
        <f t="shared" si="6"/>
        <v>18.175386117402166</v>
      </c>
      <c r="P181" s="1002">
        <f>IFERROR(IF(VLOOKUP(B181,'Dados gerais'!$D$33:$F$35,3,FALSE)="",VLOOKUP('Outras emissões de processo'!B181,'Fatores de Emissão'!$B$12:$E$14,3, FALSE),VLOOKUP(B181,'Dados gerais'!$D$33:$F$35,3,FALSE)),"")</f>
        <v>2.6666666666666665</v>
      </c>
      <c r="Q181" s="1002">
        <f t="shared" si="7"/>
        <v>6.8157697940258126</v>
      </c>
      <c r="R181" s="575" t="str">
        <f>IFERROR(IF(G181=FAAS!$K$135,'Outras emissões de processo'!I181,VLOOKUP(G181,FAAS!$B$63:$J$82,9,FALSE)),"")</f>
        <v/>
      </c>
      <c r="S181" s="575" t="str">
        <f t="shared" si="2"/>
        <v/>
      </c>
      <c r="T181" s="575" t="str">
        <f t="shared" si="3"/>
        <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46.8" outlineLevel="2" x14ac:dyDescent="0.3">
      <c r="B182" s="269" t="s">
        <v>1077</v>
      </c>
      <c r="C182" s="962" t="s">
        <v>1637</v>
      </c>
      <c r="D182" s="250" t="s">
        <v>1188</v>
      </c>
      <c r="E182" s="249" t="s">
        <v>513</v>
      </c>
      <c r="F182" s="928">
        <f>0.1*3.749</f>
        <v>0.37490000000000001</v>
      </c>
      <c r="G182" s="269"/>
      <c r="H182" s="270"/>
      <c r="I182" s="270"/>
      <c r="J182" s="271"/>
      <c r="K182" s="623"/>
      <c r="L182" s="249"/>
      <c r="M182" s="563"/>
      <c r="N182" s="1002">
        <f>IFERROR(IF(E182=FAAS!$B$81,I182,VLOOKUP(E182,FAAS!$K$113:$L$134,2,FALSE)),"")</f>
        <v>79</v>
      </c>
      <c r="O182" s="1002">
        <f t="shared" si="6"/>
        <v>29.617100000000001</v>
      </c>
      <c r="P182" s="1002">
        <f>IFERROR(IF(VLOOKUP(B182,'Dados gerais'!$D$33:$F$35,3,FALSE)="",VLOOKUP('Outras emissões de processo'!B182,'Fatores de Emissão'!$B$12:$E$14,3, FALSE),VLOOKUP(B182,'Dados gerais'!$D$33:$F$35,3,FALSE)),"")</f>
        <v>2.6666666666666665</v>
      </c>
      <c r="Q182" s="1002">
        <f t="shared" si="7"/>
        <v>11.106412500000001</v>
      </c>
      <c r="R182" s="575" t="str">
        <f>IFERROR(IF(G182=FAAS!$K$135,'Outras emissões de processo'!I182,VLOOKUP(G182,FAAS!$B$63:$J$82,9,FALSE)),"")</f>
        <v/>
      </c>
      <c r="S182" s="575" t="str">
        <f t="shared" si="2"/>
        <v/>
      </c>
      <c r="T182" s="575" t="str">
        <f t="shared" si="3"/>
        <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46.8" outlineLevel="2" x14ac:dyDescent="0.3">
      <c r="B183" s="269" t="s">
        <v>37</v>
      </c>
      <c r="C183" s="962" t="s">
        <v>1637</v>
      </c>
      <c r="D183" s="250" t="s">
        <v>1189</v>
      </c>
      <c r="E183" s="249"/>
      <c r="F183" s="928"/>
      <c r="G183" s="269" t="s">
        <v>428</v>
      </c>
      <c r="H183" s="270"/>
      <c r="I183" s="270"/>
      <c r="J183" s="271"/>
      <c r="K183" s="623">
        <f>0.6*3.749</f>
        <v>2.2494000000000001</v>
      </c>
      <c r="L183" s="249"/>
      <c r="M183" s="563"/>
      <c r="N183" s="1002" t="str">
        <f>IFERROR(IF(E183=FAAS!$B$81,I183,VLOOKUP(E183,FAAS!$K$113:$L$134,2,FALSE)),"")</f>
        <v/>
      </c>
      <c r="O183" s="1002" t="str">
        <f t="shared" si="6"/>
        <v/>
      </c>
      <c r="P183" s="1002">
        <f>IFERROR(IF(VLOOKUP(B183,'Dados gerais'!$D$33:$F$35,3,FALSE)="",VLOOKUP('Outras emissões de processo'!B183,'Fatores de Emissão'!$B$12:$E$14,3, FALSE),VLOOKUP(B183,'Dados gerais'!$D$33:$F$35,3,FALSE)),"")</f>
        <v>40</v>
      </c>
      <c r="Q183" s="1002" t="str">
        <f t="shared" si="7"/>
        <v/>
      </c>
      <c r="R183" s="575">
        <f>IFERROR(IF(G183=FAAS!$K$135,'Outras emissões de processo'!I183,VLOOKUP(G183,FAAS!$B$63:$J$82,9,FALSE)),"")</f>
        <v>11.60148103530746</v>
      </c>
      <c r="S183" s="575">
        <f t="shared" si="2"/>
        <v>26.096371440820601</v>
      </c>
      <c r="T183" s="575">
        <f t="shared" si="3"/>
        <v>1043.854857632824</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46.8" outlineLevel="2" x14ac:dyDescent="0.3">
      <c r="B184" s="269" t="s">
        <v>37</v>
      </c>
      <c r="C184" s="962" t="s">
        <v>1637</v>
      </c>
      <c r="D184" s="250" t="s">
        <v>1189</v>
      </c>
      <c r="E184" s="249"/>
      <c r="F184" s="928"/>
      <c r="G184" s="269" t="s">
        <v>417</v>
      </c>
      <c r="H184" s="270"/>
      <c r="I184" s="270"/>
      <c r="J184" s="271"/>
      <c r="K184" s="623">
        <f>0.4*3.749</f>
        <v>1.4996</v>
      </c>
      <c r="L184" s="249"/>
      <c r="M184" s="563"/>
      <c r="N184" s="1002" t="str">
        <f>IFERROR(IF(E184=FAAS!$B$81,I184,VLOOKUP(E184,FAAS!$K$113:$L$134,2,FALSE)),"")</f>
        <v/>
      </c>
      <c r="O184" s="1002" t="str">
        <f t="shared" si="6"/>
        <v/>
      </c>
      <c r="P184" s="1002">
        <f>IFERROR(IF(VLOOKUP(B184,'Dados gerais'!$D$33:$F$35,3,FALSE)="",VLOOKUP('Outras emissões de processo'!B184,'Fatores de Emissão'!$B$12:$E$14,3, FALSE),VLOOKUP(B184,'Dados gerais'!$D$33:$F$35,3,FALSE)),"")</f>
        <v>40</v>
      </c>
      <c r="Q184" s="1002" t="str">
        <f t="shared" si="7"/>
        <v/>
      </c>
      <c r="R184" s="575">
        <f>IFERROR(IF(G184=FAAS!$K$135,'Outras emissões de processo'!I184,VLOOKUP(G184,FAAS!$B$63:$J$82,9,FALSE)),"")</f>
        <v>1.8574378358867605</v>
      </c>
      <c r="S184" s="575">
        <f t="shared" si="2"/>
        <v>2.7854137786957862</v>
      </c>
      <c r="T184" s="575">
        <f t="shared" si="3"/>
        <v>111.41655114783146</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46.8" outlineLevel="2" x14ac:dyDescent="0.3">
      <c r="B185" s="269" t="s">
        <v>1077</v>
      </c>
      <c r="C185" s="962" t="s">
        <v>1638</v>
      </c>
      <c r="D185" s="250" t="s">
        <v>1188</v>
      </c>
      <c r="E185" s="249" t="s">
        <v>414</v>
      </c>
      <c r="F185" s="928">
        <f>0.9*0.811</f>
        <v>0.7299000000000001</v>
      </c>
      <c r="G185" s="269"/>
      <c r="H185" s="270"/>
      <c r="I185" s="270"/>
      <c r="J185" s="271"/>
      <c r="K185" s="623"/>
      <c r="L185" s="249"/>
      <c r="M185" s="563"/>
      <c r="N185" s="1002">
        <f>IFERROR(IF(E185=FAAS!$B$81,I185,VLOOKUP(E185,FAAS!$K$113:$L$134,2,FALSE)),"")</f>
        <v>5.3867360532889261</v>
      </c>
      <c r="O185" s="1002">
        <f t="shared" si="6"/>
        <v>3.9317786452955876</v>
      </c>
      <c r="P185" s="1002">
        <f>IFERROR(IF(VLOOKUP(B185,'Dados gerais'!$D$33:$F$35,3,FALSE)="",VLOOKUP('Outras emissões de processo'!B185,'Fatores de Emissão'!$B$12:$E$14,3, FALSE),VLOOKUP(B185,'Dados gerais'!$D$33:$F$35,3,FALSE)),"")</f>
        <v>2.6666666666666665</v>
      </c>
      <c r="Q185" s="1002">
        <f t="shared" si="7"/>
        <v>1.4744169919858454</v>
      </c>
      <c r="R185" s="575" t="str">
        <f>IFERROR(IF(G185=FAAS!$K$135,'Outras emissões de processo'!I185,VLOOKUP(G185,FAAS!$B$63:$J$82,9,FALSE)),"")</f>
        <v/>
      </c>
      <c r="S185" s="575" t="str">
        <f t="shared" si="2"/>
        <v/>
      </c>
      <c r="T185" s="575" t="str">
        <f t="shared" si="3"/>
        <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46.8" outlineLevel="2" x14ac:dyDescent="0.3">
      <c r="B186" s="269" t="s">
        <v>1077</v>
      </c>
      <c r="C186" s="962" t="s">
        <v>1638</v>
      </c>
      <c r="D186" s="250" t="s">
        <v>1188</v>
      </c>
      <c r="E186" s="249" t="s">
        <v>513</v>
      </c>
      <c r="F186" s="928">
        <f>0.1*0.811</f>
        <v>8.1100000000000005E-2</v>
      </c>
      <c r="G186" s="269"/>
      <c r="H186" s="270"/>
      <c r="I186" s="270"/>
      <c r="J186" s="271"/>
      <c r="K186" s="623"/>
      <c r="L186" s="249"/>
      <c r="M186" s="563"/>
      <c r="N186" s="1002">
        <f>IFERROR(IF(E186=FAAS!$B$81,I186,VLOOKUP(E186,FAAS!$K$113:$L$134,2,FALSE)),"")</f>
        <v>79</v>
      </c>
      <c r="O186" s="1002">
        <f t="shared" si="6"/>
        <v>6.4069000000000003</v>
      </c>
      <c r="P186" s="1002">
        <f>IFERROR(IF(VLOOKUP(B186,'Dados gerais'!$D$33:$F$35,3,FALSE)="",VLOOKUP('Outras emissões de processo'!B186,'Fatores de Emissão'!$B$12:$E$14,3, FALSE),VLOOKUP(B186,'Dados gerais'!$D$33:$F$35,3,FALSE)),"")</f>
        <v>2.6666666666666665</v>
      </c>
      <c r="Q186" s="1002">
        <f t="shared" si="7"/>
        <v>2.4025875000000001</v>
      </c>
      <c r="R186" s="575" t="str">
        <f>IFERROR(IF(G186=FAAS!$K$135,'Outras emissões de processo'!I186,VLOOKUP(G186,FAAS!$B$63:$J$82,9,FALSE)),"")</f>
        <v/>
      </c>
      <c r="S186" s="575" t="str">
        <f t="shared" si="2"/>
        <v/>
      </c>
      <c r="T186" s="575" t="str">
        <f t="shared" si="3"/>
        <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31.2" outlineLevel="2" x14ac:dyDescent="0.3">
      <c r="B187" s="269" t="s">
        <v>37</v>
      </c>
      <c r="C187" s="962" t="s">
        <v>1638</v>
      </c>
      <c r="D187" s="250" t="s">
        <v>1189</v>
      </c>
      <c r="E187" s="249"/>
      <c r="F187" s="928"/>
      <c r="G187" s="269" t="s">
        <v>417</v>
      </c>
      <c r="H187" s="270"/>
      <c r="I187" s="270"/>
      <c r="J187" s="271"/>
      <c r="K187" s="623">
        <f>+F185+F186</f>
        <v>0.81100000000000017</v>
      </c>
      <c r="L187" s="249"/>
      <c r="M187" s="563"/>
      <c r="N187" s="1002" t="str">
        <f>IFERROR(IF(E187=FAAS!$B$81,I187,VLOOKUP(E187,FAAS!$K$113:$L$134,2,FALSE)),"")</f>
        <v/>
      </c>
      <c r="O187" s="1002" t="str">
        <f t="shared" si="6"/>
        <v/>
      </c>
      <c r="P187" s="1002">
        <f>IFERROR(IF(VLOOKUP(B187,'Dados gerais'!$D$33:$F$35,3,FALSE)="",VLOOKUP('Outras emissões de processo'!B187,'Fatores de Emissão'!$B$12:$E$14,3, FALSE),VLOOKUP(B187,'Dados gerais'!$D$33:$F$35,3,FALSE)),"")</f>
        <v>40</v>
      </c>
      <c r="Q187" s="1002" t="str">
        <f t="shared" si="7"/>
        <v/>
      </c>
      <c r="R187" s="575">
        <f>IFERROR(IF(G187=FAAS!$K$135,'Outras emissões de processo'!I187,VLOOKUP(G187,FAAS!$B$63:$J$82,9,FALSE)),"")</f>
        <v>1.8574378358867605</v>
      </c>
      <c r="S187" s="575">
        <f t="shared" si="2"/>
        <v>1.5063820849041631</v>
      </c>
      <c r="T187" s="575">
        <f t="shared" si="3"/>
        <v>60.255283396166526</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46.8" outlineLevel="2" x14ac:dyDescent="0.3">
      <c r="B188" s="269" t="s">
        <v>1077</v>
      </c>
      <c r="C188" s="962" t="s">
        <v>1639</v>
      </c>
      <c r="D188" s="250" t="s">
        <v>1188</v>
      </c>
      <c r="E188" s="249" t="s">
        <v>414</v>
      </c>
      <c r="F188" s="928">
        <f>0.8*0.009</f>
        <v>7.1999999999999998E-3</v>
      </c>
      <c r="G188" s="269"/>
      <c r="H188" s="270"/>
      <c r="I188" s="270"/>
      <c r="J188" s="271"/>
      <c r="K188" s="623"/>
      <c r="L188" s="249"/>
      <c r="M188" s="563"/>
      <c r="N188" s="1002">
        <f>IFERROR(IF(E188=FAAS!$B$81,I188,VLOOKUP(E188,FAAS!$K$113:$L$134,2,FALSE)),"")</f>
        <v>5.3867360532889261</v>
      </c>
      <c r="O188" s="1002">
        <f t="shared" si="6"/>
        <v>3.8784499583680264E-2</v>
      </c>
      <c r="P188" s="1002">
        <f>IFERROR(IF(VLOOKUP(B188,'Dados gerais'!$D$33:$F$35,3,FALSE)="",VLOOKUP('Outras emissões de processo'!B188,'Fatores de Emissão'!$B$12:$E$14,3, FALSE),VLOOKUP(B188,'Dados gerais'!$D$33:$F$35,3,FALSE)),"")</f>
        <v>2.6666666666666665</v>
      </c>
      <c r="Q188" s="1002">
        <f t="shared" si="7"/>
        <v>1.45441873438801E-2</v>
      </c>
      <c r="R188" s="575" t="str">
        <f>IFERROR(IF(G188=FAAS!$K$135,'Outras emissões de processo'!I188,VLOOKUP(G188,FAAS!$B$63:$J$82,9,FALSE)),"")</f>
        <v/>
      </c>
      <c r="S188" s="575" t="str">
        <f t="shared" si="2"/>
        <v/>
      </c>
      <c r="T188" s="575" t="str">
        <f t="shared" si="3"/>
        <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46.8" outlineLevel="2" x14ac:dyDescent="0.3">
      <c r="B189" s="269" t="s">
        <v>1077</v>
      </c>
      <c r="C189" s="962" t="s">
        <v>1639</v>
      </c>
      <c r="D189" s="250" t="s">
        <v>1188</v>
      </c>
      <c r="E189" s="249" t="s">
        <v>513</v>
      </c>
      <c r="F189" s="928">
        <f>0.1*0.009</f>
        <v>8.9999999999999998E-4</v>
      </c>
      <c r="G189" s="269"/>
      <c r="H189" s="270"/>
      <c r="I189" s="270"/>
      <c r="J189" s="271"/>
      <c r="K189" s="623"/>
      <c r="L189" s="249"/>
      <c r="M189" s="563"/>
      <c r="N189" s="1002">
        <f>IFERROR(IF(E189=FAAS!$B$81,I189,VLOOKUP(E189,FAAS!$K$113:$L$134,2,FALSE)),"")</f>
        <v>79</v>
      </c>
      <c r="O189" s="1002">
        <f t="shared" si="6"/>
        <v>7.1099999999999997E-2</v>
      </c>
      <c r="P189" s="1002">
        <f>IFERROR(IF(VLOOKUP(B189,'Dados gerais'!$D$33:$F$35,3,FALSE)="",VLOOKUP('Outras emissões de processo'!B189,'Fatores de Emissão'!$B$12:$E$14,3, FALSE),VLOOKUP(B189,'Dados gerais'!$D$33:$F$35,3,FALSE)),"")</f>
        <v>2.6666666666666665</v>
      </c>
      <c r="Q189" s="1002">
        <f t="shared" si="7"/>
        <v>2.6662499999999999E-2</v>
      </c>
      <c r="R189" s="575" t="str">
        <f>IFERROR(IF(G189=FAAS!$K$135,'Outras emissões de processo'!I189,VLOOKUP(G189,FAAS!$B$63:$J$82,9,FALSE)),"")</f>
        <v/>
      </c>
      <c r="S189" s="575" t="str">
        <f t="shared" si="2"/>
        <v/>
      </c>
      <c r="T189" s="575" t="str">
        <f t="shared" si="3"/>
        <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46.8" outlineLevel="2" x14ac:dyDescent="0.3">
      <c r="B190" s="269" t="s">
        <v>1077</v>
      </c>
      <c r="C190" s="962" t="s">
        <v>1640</v>
      </c>
      <c r="D190" s="250" t="s">
        <v>1188</v>
      </c>
      <c r="E190" s="249" t="s">
        <v>414</v>
      </c>
      <c r="F190" s="928">
        <f>0.8*3.27</f>
        <v>2.6160000000000001</v>
      </c>
      <c r="G190" s="269"/>
      <c r="H190" s="270"/>
      <c r="I190" s="270"/>
      <c r="J190" s="271"/>
      <c r="K190" s="623"/>
      <c r="L190" s="249"/>
      <c r="M190" s="563"/>
      <c r="N190" s="1002">
        <f>IFERROR(IF(E190=FAAS!$B$81,I190,VLOOKUP(E190,FAAS!$K$113:$L$134,2,FALSE)),"")</f>
        <v>5.3867360532889261</v>
      </c>
      <c r="O190" s="1002">
        <f t="shared" si="6"/>
        <v>14.091701515403832</v>
      </c>
      <c r="P190" s="1002">
        <f>IFERROR(IF(VLOOKUP(B190,'Dados gerais'!$D$33:$F$35,3,FALSE)="",VLOOKUP('Outras emissões de processo'!B190,'Fatores de Emissão'!$B$12:$E$14,3, FALSE),VLOOKUP(B190,'Dados gerais'!$D$33:$F$35,3,FALSE)),"")</f>
        <v>2.6666666666666665</v>
      </c>
      <c r="Q190" s="1002">
        <f t="shared" si="7"/>
        <v>5.2843880682764377</v>
      </c>
      <c r="R190" s="575" t="str">
        <f>IFERROR(IF(G190=FAAS!$K$135,'Outras emissões de processo'!I190,VLOOKUP(G190,FAAS!$B$63:$J$82,9,FALSE)),"")</f>
        <v/>
      </c>
      <c r="S190" s="575" t="str">
        <f t="shared" si="2"/>
        <v/>
      </c>
      <c r="T190" s="575" t="str">
        <f t="shared" si="3"/>
        <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15.6" outlineLevel="2" x14ac:dyDescent="0.3">
      <c r="B191" s="269" t="s">
        <v>1077</v>
      </c>
      <c r="C191" s="962" t="s">
        <v>1640</v>
      </c>
      <c r="D191" s="250" t="s">
        <v>1188</v>
      </c>
      <c r="E191" s="249" t="s">
        <v>513</v>
      </c>
      <c r="F191" s="928">
        <f>0.1*3.27</f>
        <v>0.32700000000000001</v>
      </c>
      <c r="G191" s="269"/>
      <c r="H191" s="270"/>
      <c r="I191" s="270"/>
      <c r="J191" s="271"/>
      <c r="K191" s="623"/>
      <c r="L191" s="249"/>
      <c r="M191" s="563"/>
      <c r="N191" s="1002">
        <f>IFERROR(IF(E191=FAAS!$B$81,I191,VLOOKUP(E191,FAAS!$K$113:$L$134,2,FALSE)),"")</f>
        <v>79</v>
      </c>
      <c r="O191" s="1002">
        <f t="shared" si="6"/>
        <v>25.833000000000002</v>
      </c>
      <c r="P191" s="1002">
        <f>IFERROR(IF(VLOOKUP(B191,'Dados gerais'!$D$33:$F$35,3,FALSE)="",VLOOKUP('Outras emissões de processo'!B191,'Fatores de Emissão'!$B$12:$E$14,3, FALSE),VLOOKUP(B191,'Dados gerais'!$D$33:$F$35,3,FALSE)),"")</f>
        <v>2.6666666666666665</v>
      </c>
      <c r="Q191" s="1002">
        <f t="shared" si="7"/>
        <v>9.6873750000000012</v>
      </c>
      <c r="R191" s="575" t="str">
        <f>IFERROR(IF(G191=FAAS!$K$135,'Outras emissões de processo'!I191,VLOOKUP(G191,FAAS!$B$63:$J$82,9,FALSE)),"")</f>
        <v/>
      </c>
      <c r="S191" s="575" t="str">
        <f t="shared" si="2"/>
        <v/>
      </c>
      <c r="T191" s="575" t="str">
        <f t="shared" si="3"/>
        <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46.8" outlineLevel="2" x14ac:dyDescent="0.3">
      <c r="B192" s="269" t="s">
        <v>37</v>
      </c>
      <c r="C192" s="962" t="s">
        <v>1640</v>
      </c>
      <c r="D192" s="250" t="s">
        <v>1189</v>
      </c>
      <c r="E192" s="249"/>
      <c r="F192" s="928"/>
      <c r="G192" s="269" t="s">
        <v>414</v>
      </c>
      <c r="H192" s="270"/>
      <c r="I192" s="270"/>
      <c r="J192" s="271"/>
      <c r="K192" s="623">
        <f>0.9*3.27</f>
        <v>2.9430000000000001</v>
      </c>
      <c r="L192" s="249"/>
      <c r="M192" s="563"/>
      <c r="N192" s="1002" t="str">
        <f>IFERROR(IF(E192=FAAS!$B$81,I192,VLOOKUP(E192,FAAS!$K$113:$L$134,2,FALSE)),"")</f>
        <v/>
      </c>
      <c r="O192" s="1002" t="str">
        <f t="shared" si="6"/>
        <v/>
      </c>
      <c r="P192" s="1002">
        <f>IFERROR(IF(VLOOKUP(B192,'Dados gerais'!$D$33:$F$35,3,FALSE)="",VLOOKUP('Outras emissões de processo'!B192,'Fatores de Emissão'!$B$12:$E$14,3, FALSE),VLOOKUP(B192,'Dados gerais'!$D$33:$F$35,3,FALSE)),"")</f>
        <v>40</v>
      </c>
      <c r="Q192" s="1002" t="str">
        <f t="shared" si="7"/>
        <v/>
      </c>
      <c r="R192" s="575">
        <f>IFERROR(IF(G192=FAAS!$K$135,'Outras emissões de processo'!I192,VLOOKUP(G192,FAAS!$B$63:$J$82,9,FALSE)),"")</f>
        <v>7.0332457953372192</v>
      </c>
      <c r="S192" s="575">
        <f t="shared" si="2"/>
        <v>20.698842375677437</v>
      </c>
      <c r="T192" s="575">
        <f t="shared" si="3"/>
        <v>827.95369502709741</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46.8" outlineLevel="2" x14ac:dyDescent="0.3">
      <c r="B193" s="269" t="s">
        <v>1077</v>
      </c>
      <c r="C193" s="962" t="s">
        <v>1641</v>
      </c>
      <c r="D193" s="250" t="s">
        <v>1189</v>
      </c>
      <c r="E193" s="249"/>
      <c r="F193" s="928"/>
      <c r="G193" s="269" t="s">
        <v>414</v>
      </c>
      <c r="H193" s="270"/>
      <c r="I193" s="270"/>
      <c r="J193" s="271"/>
      <c r="K193" s="623">
        <f>0.8*22.193</f>
        <v>17.7544</v>
      </c>
      <c r="L193" s="249"/>
      <c r="M193" s="563"/>
      <c r="N193" s="1002" t="str">
        <f>IFERROR(IF(E193=FAAS!$B$81,I193,VLOOKUP(E193,FAAS!$K$113:$L$134,2,FALSE)),"")</f>
        <v/>
      </c>
      <c r="O193" s="1002" t="str">
        <f t="shared" si="6"/>
        <v/>
      </c>
      <c r="P193" s="1002">
        <f>IFERROR(IF(VLOOKUP(B193,'Dados gerais'!$D$33:$F$35,3,FALSE)="",VLOOKUP('Outras emissões de processo'!B193,'Fatores de Emissão'!$B$12:$E$14,3, FALSE),VLOOKUP(B193,'Dados gerais'!$D$33:$F$35,3,FALSE)),"")</f>
        <v>2.6666666666666665</v>
      </c>
      <c r="Q193" s="1002" t="str">
        <f t="shared" si="7"/>
        <v/>
      </c>
      <c r="R193" s="575">
        <f>IFERROR(IF(G193=FAAS!$K$135,'Outras emissões de processo'!I193,VLOOKUP(G193,FAAS!$B$63:$J$82,9,FALSE)),"")</f>
        <v>7.0332457953372192</v>
      </c>
      <c r="S193" s="575">
        <f t="shared" si="2"/>
        <v>124.87105914873513</v>
      </c>
      <c r="T193" s="575">
        <f t="shared" si="3"/>
        <v>332.98949106329366</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46.8" outlineLevel="2" x14ac:dyDescent="0.3">
      <c r="B194" s="269" t="s">
        <v>1077</v>
      </c>
      <c r="C194" s="962" t="s">
        <v>1641</v>
      </c>
      <c r="D194" s="250" t="s">
        <v>1189</v>
      </c>
      <c r="E194" s="249"/>
      <c r="F194" s="928"/>
      <c r="G194" s="269" t="s">
        <v>513</v>
      </c>
      <c r="H194" s="270"/>
      <c r="I194" s="270"/>
      <c r="J194" s="271"/>
      <c r="K194" s="623">
        <f>0.1*22.193</f>
        <v>2.2193000000000001</v>
      </c>
      <c r="L194" s="249"/>
      <c r="M194" s="563"/>
      <c r="N194" s="1002" t="str">
        <f>IFERROR(IF(E194=FAAS!$B$81,I194,VLOOKUP(E194,FAAS!$K$113:$L$134,2,FALSE)),"")</f>
        <v/>
      </c>
      <c r="O194" s="1002" t="str">
        <f t="shared" si="6"/>
        <v/>
      </c>
      <c r="P194" s="1002">
        <f>IFERROR(IF(VLOOKUP(B194,'Dados gerais'!$D$33:$F$35,3,FALSE)="",VLOOKUP('Outras emissões de processo'!B194,'Fatores de Emissão'!$B$12:$E$14,3, FALSE),VLOOKUP(B194,'Dados gerais'!$D$33:$F$35,3,FALSE)),"")</f>
        <v>2.6666666666666665</v>
      </c>
      <c r="Q194" s="1002" t="str">
        <f t="shared" si="7"/>
        <v/>
      </c>
      <c r="R194" s="575">
        <f>IFERROR(IF(G194=FAAS!$K$135,'Outras emissões de processo'!I194,VLOOKUP(G194,FAAS!$B$63:$J$82,9,FALSE)),"")</f>
        <v>1.1954817405923699</v>
      </c>
      <c r="S194" s="575">
        <f t="shared" si="2"/>
        <v>2.6531326268966464</v>
      </c>
      <c r="T194" s="575">
        <f t="shared" si="3"/>
        <v>7.0750203383910568</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15.6" outlineLevel="2" x14ac:dyDescent="0.3">
      <c r="B195" s="269" t="s">
        <v>37</v>
      </c>
      <c r="C195" s="962" t="s">
        <v>1641</v>
      </c>
      <c r="D195" s="250" t="s">
        <v>1189</v>
      </c>
      <c r="E195" s="249"/>
      <c r="F195" s="928"/>
      <c r="G195" s="269" t="s">
        <v>414</v>
      </c>
      <c r="H195" s="270"/>
      <c r="I195" s="270"/>
      <c r="J195" s="271"/>
      <c r="K195" s="623">
        <f>+K193</f>
        <v>17.7544</v>
      </c>
      <c r="L195" s="249"/>
      <c r="M195" s="563"/>
      <c r="N195" s="1002" t="str">
        <f>IFERROR(IF(E195=FAAS!$B$81,I195,VLOOKUP(E195,FAAS!$K$113:$L$134,2,FALSE)),"")</f>
        <v/>
      </c>
      <c r="O195" s="1002" t="str">
        <f t="shared" si="6"/>
        <v/>
      </c>
      <c r="P195" s="1002">
        <f>IFERROR(IF(VLOOKUP(B195,'Dados gerais'!$D$33:$F$35,3,FALSE)="",VLOOKUP('Outras emissões de processo'!B195,'Fatores de Emissão'!$B$12:$E$14,3, FALSE),VLOOKUP(B195,'Dados gerais'!$D$33:$F$35,3,FALSE)),"")</f>
        <v>40</v>
      </c>
      <c r="Q195" s="1002" t="str">
        <f t="shared" si="7"/>
        <v/>
      </c>
      <c r="R195" s="575">
        <f>IFERROR(IF(G195=FAAS!$K$135,'Outras emissões de processo'!I195,VLOOKUP(G195,FAAS!$B$63:$J$82,9,FALSE)),"")</f>
        <v>7.0332457953372192</v>
      </c>
      <c r="S195" s="575">
        <f t="shared" si="2"/>
        <v>124.87105914873513</v>
      </c>
      <c r="T195" s="575">
        <f t="shared" si="3"/>
        <v>4994.8423659494056</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15.6" outlineLevel="2" x14ac:dyDescent="0.3">
      <c r="B196" s="269" t="s">
        <v>37</v>
      </c>
      <c r="C196" s="962" t="s">
        <v>1641</v>
      </c>
      <c r="D196" s="250" t="s">
        <v>1189</v>
      </c>
      <c r="E196" s="249"/>
      <c r="F196" s="928"/>
      <c r="G196" s="269" t="s">
        <v>513</v>
      </c>
      <c r="H196" s="270"/>
      <c r="I196" s="270"/>
      <c r="J196" s="271"/>
      <c r="K196" s="623">
        <f>+K194</f>
        <v>2.2193000000000001</v>
      </c>
      <c r="L196" s="249"/>
      <c r="M196" s="563"/>
      <c r="N196" s="1002" t="str">
        <f>IFERROR(IF(E196=FAAS!$B$81,I196,VLOOKUP(E196,FAAS!$K$113:$L$134,2,FALSE)),"")</f>
        <v/>
      </c>
      <c r="O196" s="1002" t="str">
        <f t="shared" si="6"/>
        <v/>
      </c>
      <c r="P196" s="1002">
        <f>IFERROR(IF(VLOOKUP(B196,'Dados gerais'!$D$33:$F$35,3,FALSE)="",VLOOKUP('Outras emissões de processo'!B196,'Fatores de Emissão'!$B$12:$E$14,3, FALSE),VLOOKUP(B196,'Dados gerais'!$D$33:$F$35,3,FALSE)),"")</f>
        <v>40</v>
      </c>
      <c r="Q196" s="1002" t="str">
        <f t="shared" si="7"/>
        <v/>
      </c>
      <c r="R196" s="575">
        <f>IFERROR(IF(G196=FAAS!$K$135,'Outras emissões de processo'!I196,VLOOKUP(G196,FAAS!$B$63:$J$82,9,FALSE)),"")</f>
        <v>1.1954817405923699</v>
      </c>
      <c r="S196" s="575">
        <f t="shared" si="2"/>
        <v>2.6531326268966464</v>
      </c>
      <c r="T196" s="575">
        <f t="shared" si="3"/>
        <v>106.12530507586585</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46.8" outlineLevel="2" x14ac:dyDescent="0.3">
      <c r="B197" s="269" t="s">
        <v>1077</v>
      </c>
      <c r="C197" s="962" t="s">
        <v>1642</v>
      </c>
      <c r="D197" s="250" t="s">
        <v>1189</v>
      </c>
      <c r="E197" s="249"/>
      <c r="F197" s="928"/>
      <c r="G197" s="269" t="s">
        <v>414</v>
      </c>
      <c r="H197" s="270"/>
      <c r="I197" s="270"/>
      <c r="J197" s="271"/>
      <c r="K197" s="623">
        <v>0.441</v>
      </c>
      <c r="L197" s="249"/>
      <c r="M197" s="563"/>
      <c r="N197" s="1002" t="str">
        <f>IFERROR(IF(E197=FAAS!$B$81,I197,VLOOKUP(E197,FAAS!$K$113:$L$134,2,FALSE)),"")</f>
        <v/>
      </c>
      <c r="O197" s="1002" t="str">
        <f t="shared" si="6"/>
        <v/>
      </c>
      <c r="P197" s="1002">
        <f>IFERROR(IF(VLOOKUP(B197,'Dados gerais'!$D$33:$F$35,3,FALSE)="",VLOOKUP('Outras emissões de processo'!B197,'Fatores de Emissão'!$B$12:$E$14,3, FALSE),VLOOKUP(B197,'Dados gerais'!$D$33:$F$35,3,FALSE)),"")</f>
        <v>2.6666666666666665</v>
      </c>
      <c r="Q197" s="1002" t="str">
        <f t="shared" si="7"/>
        <v/>
      </c>
      <c r="R197" s="575">
        <f>IFERROR(IF(G197=FAAS!$K$135,'Outras emissões de processo'!I197,VLOOKUP(G197,FAAS!$B$63:$J$82,9,FALSE)),"")</f>
        <v>7.0332457953372192</v>
      </c>
      <c r="S197" s="575">
        <f t="shared" si="2"/>
        <v>3.1016613957437138</v>
      </c>
      <c r="T197" s="575">
        <f t="shared" si="3"/>
        <v>8.2710970553165701</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31.2" outlineLevel="2" x14ac:dyDescent="0.3">
      <c r="B198" s="269" t="s">
        <v>37</v>
      </c>
      <c r="C198" s="962" t="s">
        <v>1642</v>
      </c>
      <c r="D198" s="250" t="s">
        <v>1189</v>
      </c>
      <c r="E198" s="249"/>
      <c r="F198" s="928"/>
      <c r="G198" s="269" t="s">
        <v>414</v>
      </c>
      <c r="H198" s="270"/>
      <c r="I198" s="270"/>
      <c r="J198" s="271"/>
      <c r="K198" s="623">
        <f>+K197</f>
        <v>0.441</v>
      </c>
      <c r="L198" s="249"/>
      <c r="M198" s="563"/>
      <c r="N198" s="1002" t="str">
        <f>IFERROR(IF(E198=FAAS!$B$81,I198,VLOOKUP(E198,FAAS!$K$113:$L$134,2,FALSE)),"")</f>
        <v/>
      </c>
      <c r="O198" s="1002" t="str">
        <f t="shared" si="6"/>
        <v/>
      </c>
      <c r="P198" s="1002">
        <f>IFERROR(IF(VLOOKUP(B198,'Dados gerais'!$D$33:$F$35,3,FALSE)="",VLOOKUP('Outras emissões de processo'!B198,'Fatores de Emissão'!$B$12:$E$14,3, FALSE),VLOOKUP(B198,'Dados gerais'!$D$33:$F$35,3,FALSE)),"")</f>
        <v>40</v>
      </c>
      <c r="Q198" s="1002" t="str">
        <f t="shared" si="7"/>
        <v/>
      </c>
      <c r="R198" s="575">
        <f>IFERROR(IF(G198=FAAS!$K$135,'Outras emissões de processo'!I198,VLOOKUP(G198,FAAS!$B$63:$J$82,9,FALSE)),"")</f>
        <v>7.0332457953372192</v>
      </c>
      <c r="S198" s="575">
        <f t="shared" si="2"/>
        <v>3.1016613957437138</v>
      </c>
      <c r="T198" s="575">
        <f t="shared" si="3"/>
        <v>124.06645582974855</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46.8" outlineLevel="2" x14ac:dyDescent="0.3">
      <c r="B199" s="269" t="s">
        <v>1077</v>
      </c>
      <c r="C199" s="962" t="s">
        <v>1643</v>
      </c>
      <c r="D199" s="250" t="s">
        <v>1188</v>
      </c>
      <c r="E199" s="249" t="s">
        <v>428</v>
      </c>
      <c r="F199" s="928">
        <v>1.2999999999999999E-2</v>
      </c>
      <c r="G199" s="269"/>
      <c r="H199" s="270"/>
      <c r="I199" s="270"/>
      <c r="J199" s="271"/>
      <c r="K199" s="623"/>
      <c r="L199" s="249"/>
      <c r="M199" s="563"/>
      <c r="N199" s="1002">
        <f>IFERROR(IF(E199=FAAS!$B$81,I199,VLOOKUP(E199,FAAS!$K$113:$L$134,2,FALSE)),"")</f>
        <v>97</v>
      </c>
      <c r="O199" s="1002">
        <f t="shared" si="6"/>
        <v>1.2609999999999999</v>
      </c>
      <c r="P199" s="1002">
        <f>IFERROR(IF(VLOOKUP(B199,'Dados gerais'!$D$33:$F$35,3,FALSE)="",VLOOKUP('Outras emissões de processo'!B199,'Fatores de Emissão'!$B$12:$E$14,3, FALSE),VLOOKUP(B199,'Dados gerais'!$D$33:$F$35,3,FALSE)),"")</f>
        <v>2.6666666666666665</v>
      </c>
      <c r="Q199" s="1002">
        <f t="shared" si="7"/>
        <v>0.47287499999999999</v>
      </c>
      <c r="R199" s="575" t="str">
        <f>IFERROR(IF(G199=FAAS!$K$135,'Outras emissões de processo'!I199,VLOOKUP(G199,FAAS!$B$63:$J$82,9,FALSE)),"")</f>
        <v/>
      </c>
      <c r="S199" s="575" t="str">
        <f t="shared" si="2"/>
        <v/>
      </c>
      <c r="T199" s="575" t="str">
        <f t="shared" si="3"/>
        <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46.8" outlineLevel="2" x14ac:dyDescent="0.3">
      <c r="B200" s="269" t="s">
        <v>1077</v>
      </c>
      <c r="C200" s="962" t="s">
        <v>1644</v>
      </c>
      <c r="D200" s="250" t="s">
        <v>1189</v>
      </c>
      <c r="E200" s="249"/>
      <c r="F200" s="928"/>
      <c r="G200" s="269" t="s">
        <v>428</v>
      </c>
      <c r="H200" s="270"/>
      <c r="I200" s="270"/>
      <c r="J200" s="271"/>
      <c r="K200" s="623">
        <v>22.856000000000002</v>
      </c>
      <c r="L200" s="249"/>
      <c r="M200" s="563"/>
      <c r="N200" s="1002" t="str">
        <f>IFERROR(IF(E200=FAAS!$B$81,I200,VLOOKUP(E200,FAAS!$K$113:$L$134,2,FALSE)),"")</f>
        <v/>
      </c>
      <c r="O200" s="1002" t="str">
        <f t="shared" si="6"/>
        <v/>
      </c>
      <c r="P200" s="1002">
        <f>IFERROR(IF(VLOOKUP(B200,'Dados gerais'!$D$33:$F$35,3,FALSE)="",VLOOKUP('Outras emissões de processo'!B200,'Fatores de Emissão'!$B$12:$E$14,3, FALSE),VLOOKUP(B200,'Dados gerais'!$D$33:$F$35,3,FALSE)),"")</f>
        <v>2.6666666666666665</v>
      </c>
      <c r="Q200" s="1002" t="str">
        <f t="shared" si="7"/>
        <v/>
      </c>
      <c r="R200" s="575">
        <f>IFERROR(IF(G200=FAAS!$K$135,'Outras emissões de processo'!I200,VLOOKUP(G200,FAAS!$B$63:$J$82,9,FALSE)),"")</f>
        <v>11.60148103530746</v>
      </c>
      <c r="S200" s="575">
        <f t="shared" si="2"/>
        <v>265.16345054298733</v>
      </c>
      <c r="T200" s="575">
        <f t="shared" si="3"/>
        <v>707.10253478129948</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31.2" outlineLevel="2" x14ac:dyDescent="0.3">
      <c r="B201" s="269" t="s">
        <v>37</v>
      </c>
      <c r="C201" s="962" t="s">
        <v>1644</v>
      </c>
      <c r="D201" s="250" t="s">
        <v>1189</v>
      </c>
      <c r="E201" s="249"/>
      <c r="F201" s="928"/>
      <c r="G201" s="269" t="s">
        <v>428</v>
      </c>
      <c r="H201" s="270"/>
      <c r="I201" s="270"/>
      <c r="J201" s="271"/>
      <c r="K201" s="623">
        <f>+K200</f>
        <v>22.856000000000002</v>
      </c>
      <c r="L201" s="249"/>
      <c r="M201" s="563"/>
      <c r="N201" s="1002" t="str">
        <f>IFERROR(IF(E201=FAAS!$B$81,I201,VLOOKUP(E201,FAAS!$K$113:$L$134,2,FALSE)),"")</f>
        <v/>
      </c>
      <c r="O201" s="1002" t="str">
        <f t="shared" si="6"/>
        <v/>
      </c>
      <c r="P201" s="1002">
        <f>IFERROR(IF(VLOOKUP(B201,'Dados gerais'!$D$33:$F$35,3,FALSE)="",VLOOKUP('Outras emissões de processo'!B201,'Fatores de Emissão'!$B$12:$E$14,3, FALSE),VLOOKUP(B201,'Dados gerais'!$D$33:$F$35,3,FALSE)),"")</f>
        <v>40</v>
      </c>
      <c r="Q201" s="1002" t="str">
        <f t="shared" si="7"/>
        <v/>
      </c>
      <c r="R201" s="575">
        <f>IFERROR(IF(G201=FAAS!$K$135,'Outras emissões de processo'!I201,VLOOKUP(G201,FAAS!$B$63:$J$82,9,FALSE)),"")</f>
        <v>11.60148103530746</v>
      </c>
      <c r="S201" s="575">
        <f t="shared" si="2"/>
        <v>265.16345054298733</v>
      </c>
      <c r="T201" s="575">
        <f t="shared" si="3"/>
        <v>10606.538021719494</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46.8" outlineLevel="2" x14ac:dyDescent="0.3">
      <c r="B202" s="269" t="s">
        <v>1077</v>
      </c>
      <c r="C202" s="962" t="s">
        <v>1645</v>
      </c>
      <c r="D202" s="250" t="s">
        <v>1189</v>
      </c>
      <c r="E202" s="249"/>
      <c r="F202" s="928"/>
      <c r="G202" s="269" t="s">
        <v>428</v>
      </c>
      <c r="H202" s="270"/>
      <c r="I202" s="270"/>
      <c r="J202" s="271"/>
      <c r="K202" s="623">
        <f>0.9*0.162</f>
        <v>0.14580000000000001</v>
      </c>
      <c r="L202" s="249"/>
      <c r="M202" s="563"/>
      <c r="N202" s="1002" t="str">
        <f>IFERROR(IF(E202=FAAS!$B$81,I202,VLOOKUP(E202,FAAS!$K$113:$L$134,2,FALSE)),"")</f>
        <v/>
      </c>
      <c r="O202" s="1002" t="str">
        <f t="shared" si="6"/>
        <v/>
      </c>
      <c r="P202" s="1002">
        <f>IFERROR(IF(VLOOKUP(B202,'Dados gerais'!$D$33:$F$35,3,FALSE)="",VLOOKUP('Outras emissões de processo'!B202,'Fatores de Emissão'!$B$12:$E$14,3, FALSE),VLOOKUP(B202,'Dados gerais'!$D$33:$F$35,3,FALSE)),"")</f>
        <v>2.6666666666666665</v>
      </c>
      <c r="Q202" s="1002" t="str">
        <f t="shared" si="7"/>
        <v/>
      </c>
      <c r="R202" s="575">
        <f>IFERROR(IF(G202=FAAS!$K$135,'Outras emissões de processo'!I202,VLOOKUP(G202,FAAS!$B$63:$J$82,9,FALSE)),"")</f>
        <v>11.60148103530746</v>
      </c>
      <c r="S202" s="575">
        <f t="shared" si="2"/>
        <v>1.6914959349478278</v>
      </c>
      <c r="T202" s="575">
        <f t="shared" si="3"/>
        <v>4.5106558265275405</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31.2" outlineLevel="2" x14ac:dyDescent="0.3">
      <c r="B203" s="269" t="s">
        <v>37</v>
      </c>
      <c r="C203" s="962" t="s">
        <v>1645</v>
      </c>
      <c r="D203" s="250" t="s">
        <v>1189</v>
      </c>
      <c r="E203" s="249"/>
      <c r="F203" s="928"/>
      <c r="G203" s="269" t="s">
        <v>428</v>
      </c>
      <c r="H203" s="270"/>
      <c r="I203" s="270"/>
      <c r="J203" s="271"/>
      <c r="K203" s="623">
        <f>+K202</f>
        <v>0.14580000000000001</v>
      </c>
      <c r="L203" s="249"/>
      <c r="M203" s="563"/>
      <c r="N203" s="1002" t="str">
        <f>IFERROR(IF(E203=FAAS!$B$81,I203,VLOOKUP(E203,FAAS!$K$113:$L$134,2,FALSE)),"")</f>
        <v/>
      </c>
      <c r="O203" s="1002" t="str">
        <f t="shared" si="6"/>
        <v/>
      </c>
      <c r="P203" s="1002">
        <f>IFERROR(IF(VLOOKUP(B203,'Dados gerais'!$D$33:$F$35,3,FALSE)="",VLOOKUP('Outras emissões de processo'!B203,'Fatores de Emissão'!$B$12:$E$14,3, FALSE),VLOOKUP(B203,'Dados gerais'!$D$33:$F$35,3,FALSE)),"")</f>
        <v>40</v>
      </c>
      <c r="Q203" s="1002" t="str">
        <f t="shared" si="7"/>
        <v/>
      </c>
      <c r="R203" s="575">
        <f>IFERROR(IF(G203=FAAS!$K$135,'Outras emissões de processo'!I203,VLOOKUP(G203,FAAS!$B$63:$J$82,9,FALSE)),"")</f>
        <v>11.60148103530746</v>
      </c>
      <c r="S203" s="575">
        <f t="shared" si="2"/>
        <v>1.6914959349478278</v>
      </c>
      <c r="T203" s="575">
        <f t="shared" si="3"/>
        <v>67.659837397913108</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46.8" outlineLevel="2" x14ac:dyDescent="0.3">
      <c r="B204" s="269" t="s">
        <v>1077</v>
      </c>
      <c r="C204" s="962" t="s">
        <v>1646</v>
      </c>
      <c r="D204" s="250" t="s">
        <v>1188</v>
      </c>
      <c r="E204" s="249" t="s">
        <v>428</v>
      </c>
      <c r="F204" s="928">
        <v>3.0000000000000001E-3</v>
      </c>
      <c r="G204" s="269"/>
      <c r="H204" s="270"/>
      <c r="I204" s="270"/>
      <c r="J204" s="271"/>
      <c r="K204" s="623"/>
      <c r="L204" s="249"/>
      <c r="M204" s="563"/>
      <c r="N204" s="1002">
        <f>IFERROR(IF(E204=FAAS!$B$81,I204,VLOOKUP(E204,FAAS!$K$113:$L$134,2,FALSE)),"")</f>
        <v>97</v>
      </c>
      <c r="O204" s="1002">
        <f t="shared" si="6"/>
        <v>0.29099999999999998</v>
      </c>
      <c r="P204" s="1002">
        <f>IFERROR(IF(VLOOKUP(B204,'Dados gerais'!$D$33:$F$35,3,FALSE)="",VLOOKUP('Outras emissões de processo'!B204,'Fatores de Emissão'!$B$12:$E$14,3, FALSE),VLOOKUP(B204,'Dados gerais'!$D$33:$F$35,3,FALSE)),"")</f>
        <v>2.6666666666666665</v>
      </c>
      <c r="Q204" s="1002">
        <f t="shared" si="7"/>
        <v>0.109125</v>
      </c>
      <c r="R204" s="575" t="str">
        <f>IFERROR(IF(G204=FAAS!$K$135,'Outras emissões de processo'!I204,VLOOKUP(G204,FAAS!$B$63:$J$82,9,FALSE)),"")</f>
        <v/>
      </c>
      <c r="S204" s="575" t="str">
        <f t="shared" si="2"/>
        <v/>
      </c>
      <c r="T204" s="575" t="str">
        <f t="shared" si="3"/>
        <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46.8" outlineLevel="2" x14ac:dyDescent="0.3">
      <c r="B205" s="269" t="s">
        <v>1077</v>
      </c>
      <c r="C205" s="962" t="s">
        <v>1647</v>
      </c>
      <c r="D205" s="250" t="s">
        <v>1189</v>
      </c>
      <c r="E205" s="249"/>
      <c r="F205" s="928"/>
      <c r="G205" s="269" t="s">
        <v>428</v>
      </c>
      <c r="H205" s="270"/>
      <c r="I205" s="270"/>
      <c r="J205" s="271"/>
      <c r="K205" s="623">
        <v>5.6820000000000004</v>
      </c>
      <c r="L205" s="249"/>
      <c r="M205" s="563"/>
      <c r="N205" s="1002" t="str">
        <f>IFERROR(IF(E205=FAAS!$B$81,I205,VLOOKUP(E205,FAAS!$K$113:$L$134,2,FALSE)),"")</f>
        <v/>
      </c>
      <c r="O205" s="1002" t="str">
        <f t="shared" si="6"/>
        <v/>
      </c>
      <c r="P205" s="1002">
        <f>IFERROR(IF(VLOOKUP(B205,'Dados gerais'!$D$33:$F$35,3,FALSE)="",VLOOKUP('Outras emissões de processo'!B205,'Fatores de Emissão'!$B$12:$E$14,3, FALSE),VLOOKUP(B205,'Dados gerais'!$D$33:$F$35,3,FALSE)),"")</f>
        <v>2.6666666666666665</v>
      </c>
      <c r="Q205" s="1002" t="str">
        <f t="shared" si="7"/>
        <v/>
      </c>
      <c r="R205" s="575">
        <f>IFERROR(IF(G205=FAAS!$K$135,'Outras emissões de processo'!I205,VLOOKUP(G205,FAAS!$B$63:$J$82,9,FALSE)),"")</f>
        <v>11.60148103530746</v>
      </c>
      <c r="S205" s="575">
        <f t="shared" si="2"/>
        <v>65.919615242616985</v>
      </c>
      <c r="T205" s="575">
        <f t="shared" si="3"/>
        <v>175.78564064697861</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31.2" outlineLevel="2" x14ac:dyDescent="0.3">
      <c r="B206" s="269" t="s">
        <v>37</v>
      </c>
      <c r="C206" s="962" t="s">
        <v>1647</v>
      </c>
      <c r="D206" s="250" t="s">
        <v>1189</v>
      </c>
      <c r="E206" s="249"/>
      <c r="F206" s="928"/>
      <c r="G206" s="269" t="s">
        <v>428</v>
      </c>
      <c r="H206" s="270"/>
      <c r="I206" s="270"/>
      <c r="J206" s="271"/>
      <c r="K206" s="623">
        <f>+K205</f>
        <v>5.6820000000000004</v>
      </c>
      <c r="L206" s="249"/>
      <c r="M206" s="563"/>
      <c r="N206" s="1002" t="str">
        <f>IFERROR(IF(E206=FAAS!$B$81,I206,VLOOKUP(E206,FAAS!$K$113:$L$134,2,FALSE)),"")</f>
        <v/>
      </c>
      <c r="O206" s="1002" t="str">
        <f t="shared" si="6"/>
        <v/>
      </c>
      <c r="P206" s="1002">
        <f>IFERROR(IF(VLOOKUP(B206,'Dados gerais'!$D$33:$F$35,3,FALSE)="",VLOOKUP('Outras emissões de processo'!B206,'Fatores de Emissão'!$B$12:$E$14,3, FALSE),VLOOKUP(B206,'Dados gerais'!$D$33:$F$35,3,FALSE)),"")</f>
        <v>40</v>
      </c>
      <c r="Q206" s="1002" t="str">
        <f t="shared" si="7"/>
        <v/>
      </c>
      <c r="R206" s="575">
        <f>IFERROR(IF(G206=FAAS!$K$135,'Outras emissões de processo'!I206,VLOOKUP(G206,FAAS!$B$63:$J$82,9,FALSE)),"")</f>
        <v>11.60148103530746</v>
      </c>
      <c r="S206" s="575">
        <f t="shared" si="2"/>
        <v>65.919615242616985</v>
      </c>
      <c r="T206" s="575">
        <f t="shared" si="3"/>
        <v>2636.7846097046795</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31.2" outlineLevel="2" x14ac:dyDescent="0.3">
      <c r="B207" s="269" t="s">
        <v>37</v>
      </c>
      <c r="C207" s="962" t="s">
        <v>1648</v>
      </c>
      <c r="D207" s="250" t="s">
        <v>1189</v>
      </c>
      <c r="E207" s="249"/>
      <c r="F207" s="928"/>
      <c r="G207" s="269" t="s">
        <v>414</v>
      </c>
      <c r="H207" s="270"/>
      <c r="I207" s="270"/>
      <c r="J207" s="271"/>
      <c r="K207" s="623">
        <f>8.987+0.001</f>
        <v>8.9879999999999995</v>
      </c>
      <c r="L207" s="249"/>
      <c r="M207" s="563"/>
      <c r="N207" s="1002" t="str">
        <f>IFERROR(IF(E207=FAAS!$B$81,I207,VLOOKUP(E207,FAAS!$K$113:$L$134,2,FALSE)),"")</f>
        <v/>
      </c>
      <c r="O207" s="1002" t="str">
        <f t="shared" si="6"/>
        <v/>
      </c>
      <c r="P207" s="1002">
        <f>IFERROR(IF(VLOOKUP(B207,'Dados gerais'!$D$33:$F$35,3,FALSE)="",VLOOKUP('Outras emissões de processo'!B207,'Fatores de Emissão'!$B$12:$E$14,3, FALSE),VLOOKUP(B207,'Dados gerais'!$D$33:$F$35,3,FALSE)),"")</f>
        <v>40</v>
      </c>
      <c r="Q207" s="1002" t="str">
        <f t="shared" si="7"/>
        <v/>
      </c>
      <c r="R207" s="575">
        <f>IFERROR(IF(G207=FAAS!$K$135,'Outras emissões de processo'!I207,VLOOKUP(G207,FAAS!$B$63:$J$82,9,FALSE)),"")</f>
        <v>7.0332457953372192</v>
      </c>
      <c r="S207" s="575">
        <f t="shared" si="2"/>
        <v>63.214813208490924</v>
      </c>
      <c r="T207" s="575">
        <f t="shared" si="3"/>
        <v>2528.5925283396368</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46.8" outlineLevel="2" x14ac:dyDescent="0.3">
      <c r="B208" s="269" t="s">
        <v>1077</v>
      </c>
      <c r="C208" s="962" t="s">
        <v>1649</v>
      </c>
      <c r="D208" s="250" t="s">
        <v>1189</v>
      </c>
      <c r="E208" s="249"/>
      <c r="F208" s="928"/>
      <c r="G208" s="269" t="s">
        <v>411</v>
      </c>
      <c r="H208" s="270"/>
      <c r="I208" s="270"/>
      <c r="J208" s="271"/>
      <c r="K208" s="623">
        <v>0.47799999999999998</v>
      </c>
      <c r="L208" s="249"/>
      <c r="M208" s="563"/>
      <c r="N208" s="1002" t="str">
        <f>IFERROR(IF(E208=FAAS!$B$81,I208,VLOOKUP(E208,FAAS!$K$113:$L$134,2,FALSE)),"")</f>
        <v/>
      </c>
      <c r="O208" s="1002" t="str">
        <f t="shared" si="6"/>
        <v/>
      </c>
      <c r="P208" s="1002">
        <f>IFERROR(IF(VLOOKUP(B208,'Dados gerais'!$D$33:$F$35,3,FALSE)="",VLOOKUP('Outras emissões de processo'!B208,'Fatores de Emissão'!$B$12:$E$14,3, FALSE),VLOOKUP(B208,'Dados gerais'!$D$33:$F$35,3,FALSE)),"")</f>
        <v>2.6666666666666665</v>
      </c>
      <c r="Q208" s="1002" t="str">
        <f t="shared" si="7"/>
        <v/>
      </c>
      <c r="R208" s="575">
        <f>IFERROR(IF(G208=FAAS!$K$135,'Outras emissões de processo'!I208,VLOOKUP(G208,FAAS!$B$63:$J$82,9,FALSE)),"")</f>
        <v>0.99253836494587866</v>
      </c>
      <c r="S208" s="575">
        <f t="shared" si="2"/>
        <v>0.47443333844412999</v>
      </c>
      <c r="T208" s="575">
        <f t="shared" si="3"/>
        <v>1.2651555691843466</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15.6" outlineLevel="2" x14ac:dyDescent="0.3">
      <c r="B209" s="269" t="s">
        <v>37</v>
      </c>
      <c r="C209" s="962" t="s">
        <v>1649</v>
      </c>
      <c r="D209" s="250" t="s">
        <v>1189</v>
      </c>
      <c r="E209" s="249"/>
      <c r="F209" s="928"/>
      <c r="G209" s="269" t="s">
        <v>411</v>
      </c>
      <c r="H209" s="270"/>
      <c r="I209" s="270"/>
      <c r="J209" s="271"/>
      <c r="K209" s="623">
        <v>0.47799999999999998</v>
      </c>
      <c r="L209" s="249"/>
      <c r="M209" s="563"/>
      <c r="N209" s="1002" t="str">
        <f>IFERROR(IF(E209=FAAS!$B$81,I209,VLOOKUP(E209,FAAS!$K$113:$L$134,2,FALSE)),"")</f>
        <v/>
      </c>
      <c r="O209" s="1002" t="str">
        <f t="shared" si="6"/>
        <v/>
      </c>
      <c r="P209" s="1002">
        <f>IFERROR(IF(VLOOKUP(B209,'Dados gerais'!$D$33:$F$35,3,FALSE)="",VLOOKUP('Outras emissões de processo'!B209,'Fatores de Emissão'!$B$12:$E$14,3, FALSE),VLOOKUP(B209,'Dados gerais'!$D$33:$F$35,3,FALSE)),"")</f>
        <v>40</v>
      </c>
      <c r="Q209" s="1002" t="str">
        <f t="shared" si="7"/>
        <v/>
      </c>
      <c r="R209" s="575">
        <f>IFERROR(IF(G209=FAAS!$K$135,'Outras emissões de processo'!I209,VLOOKUP(G209,FAAS!$B$63:$J$82,9,FALSE)),"")</f>
        <v>0.99253836494587866</v>
      </c>
      <c r="S209" s="575">
        <f t="shared" si="2"/>
        <v>0.47443333844412999</v>
      </c>
      <c r="T209" s="575">
        <f t="shared" si="3"/>
        <v>18.977333537765201</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15.6" outlineLevel="2" x14ac:dyDescent="0.3">
      <c r="B210" s="269"/>
      <c r="C210" s="962"/>
      <c r="D210" s="250"/>
      <c r="E210" s="249"/>
      <c r="F210" s="928"/>
      <c r="G210" s="269"/>
      <c r="H210" s="270"/>
      <c r="I210" s="270"/>
      <c r="J210" s="271"/>
      <c r="K210" s="623"/>
      <c r="L210" s="249"/>
      <c r="M210" s="563"/>
      <c r="N210" s="1002" t="str">
        <f>IFERROR(IF(E210=FAAS!$B$81,I210,VLOOKUP(E210,FAAS!$K$113:$L$134,2,FALSE)),"")</f>
        <v/>
      </c>
      <c r="O210" s="1002" t="str">
        <f t="shared" si="6"/>
        <v/>
      </c>
      <c r="P210" s="1002" t="str">
        <f>IFERROR(IF(VLOOKUP(B210,'Dados gerais'!$D$33:$F$35,3,FALSE)="",VLOOKUP('Outras emissões de processo'!B210,'Fatores de Emissão'!$B$12:$E$14,3, FALSE),VLOOKUP(B210,'Dados gerais'!$D$33:$F$35,3,FALSE)),"")</f>
        <v/>
      </c>
      <c r="Q210" s="1002" t="str">
        <f t="shared" si="7"/>
        <v/>
      </c>
      <c r="R210" s="575" t="str">
        <f>IFERROR(IF(G210=FAAS!$K$135,'Outras emissões de processo'!I210,VLOOKUP(G210,FAAS!$B$63:$J$82,9,FALSE)),"")</f>
        <v/>
      </c>
      <c r="S210" s="575" t="str">
        <f t="shared" si="2"/>
        <v/>
      </c>
      <c r="T210" s="575" t="str">
        <f t="shared" si="3"/>
        <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15.6" outlineLevel="2" x14ac:dyDescent="0.3">
      <c r="B211" s="269"/>
      <c r="C211" s="962"/>
      <c r="D211" s="250"/>
      <c r="E211" s="249"/>
      <c r="F211" s="928"/>
      <c r="G211" s="269"/>
      <c r="H211" s="270"/>
      <c r="I211" s="270"/>
      <c r="J211" s="271"/>
      <c r="K211" s="623"/>
      <c r="L211" s="249"/>
      <c r="M211" s="563"/>
      <c r="N211" s="1002" t="str">
        <f>IFERROR(IF(E211=FAAS!$B$81,I211,VLOOKUP(E211,FAAS!$K$113:$L$134,2,FALSE)),"")</f>
        <v/>
      </c>
      <c r="O211" s="1002" t="str">
        <f t="shared" si="6"/>
        <v/>
      </c>
      <c r="P211" s="1002" t="str">
        <f>IFERROR(IF(VLOOKUP(B211,'Dados gerais'!$D$33:$F$35,3,FALSE)="",VLOOKUP('Outras emissões de processo'!B211,'Fatores de Emissão'!$B$12:$E$14,3, FALSE),VLOOKUP(B211,'Dados gerais'!$D$33:$F$35,3,FALSE)),"")</f>
        <v/>
      </c>
      <c r="Q211" s="1002" t="str">
        <f t="shared" si="7"/>
        <v/>
      </c>
      <c r="R211" s="575" t="str">
        <f>IFERROR(IF(G211=FAAS!$K$135,'Outras emissões de processo'!I211,VLOOKUP(G211,FAAS!$B$63:$J$82,9,FALSE)),"")</f>
        <v/>
      </c>
      <c r="S211" s="575" t="str">
        <f t="shared" si="2"/>
        <v/>
      </c>
      <c r="T211" s="575" t="str">
        <f t="shared" si="3"/>
        <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15.6" outlineLevel="2" x14ac:dyDescent="0.3">
      <c r="B212" s="269"/>
      <c r="C212" s="962"/>
      <c r="D212" s="250"/>
      <c r="E212" s="249"/>
      <c r="F212" s="928"/>
      <c r="G212" s="269"/>
      <c r="H212" s="270"/>
      <c r="I212" s="270"/>
      <c r="J212" s="271"/>
      <c r="K212" s="623"/>
      <c r="L212" s="249"/>
      <c r="M212" s="563"/>
      <c r="N212" s="1002" t="str">
        <f>IFERROR(IF(E212=FAAS!$B$81,I212,VLOOKUP(E212,FAAS!$K$113:$L$134,2,FALSE)),"")</f>
        <v/>
      </c>
      <c r="O212" s="1002" t="str">
        <f t="shared" si="6"/>
        <v/>
      </c>
      <c r="P212" s="1002" t="str">
        <f>IFERROR(IF(VLOOKUP(B212,'Dados gerais'!$D$33:$F$35,3,FALSE)="",VLOOKUP('Outras emissões de processo'!B212,'Fatores de Emissão'!$B$12:$E$14,3, FALSE),VLOOKUP(B212,'Dados gerais'!$D$33:$F$35,3,FALSE)),"")</f>
        <v/>
      </c>
      <c r="Q212" s="1002" t="str">
        <f t="shared" si="7"/>
        <v/>
      </c>
      <c r="R212" s="575" t="str">
        <f>IFERROR(IF(G212=FAAS!$K$135,'Outras emissões de processo'!I212,VLOOKUP(G212,FAAS!$B$63:$J$82,9,FALSE)),"")</f>
        <v/>
      </c>
      <c r="S212" s="575" t="str">
        <f t="shared" si="2"/>
        <v/>
      </c>
      <c r="T212" s="575" t="str">
        <f t="shared" si="3"/>
        <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15.6" outlineLevel="2" x14ac:dyDescent="0.3">
      <c r="B213" s="269"/>
      <c r="C213" s="962"/>
      <c r="D213" s="250"/>
      <c r="E213" s="249"/>
      <c r="F213" s="928"/>
      <c r="G213" s="269"/>
      <c r="H213" s="270"/>
      <c r="I213" s="270"/>
      <c r="J213" s="271"/>
      <c r="K213" s="623"/>
      <c r="L213" s="249"/>
      <c r="M213" s="563"/>
      <c r="N213" s="1002" t="str">
        <f>IFERROR(IF(E213=FAAS!$B$81,I213,VLOOKUP(E213,FAAS!$K$113:$L$134,2,FALSE)),"")</f>
        <v/>
      </c>
      <c r="O213" s="1002" t="str">
        <f t="shared" si="6"/>
        <v/>
      </c>
      <c r="P213" s="1002" t="str">
        <f>IFERROR(IF(VLOOKUP(B213,'Dados gerais'!$D$33:$F$35,3,FALSE)="",VLOOKUP('Outras emissões de processo'!B213,'Fatores de Emissão'!$B$12:$E$14,3, FALSE),VLOOKUP(B213,'Dados gerais'!$D$33:$F$35,3,FALSE)),"")</f>
        <v/>
      </c>
      <c r="Q213" s="1002" t="str">
        <f t="shared" si="7"/>
        <v/>
      </c>
      <c r="R213" s="575" t="str">
        <f>IFERROR(IF(G213=FAAS!$K$135,'Outras emissões de processo'!I213,VLOOKUP(G213,FAAS!$B$63:$J$82,9,FALSE)),"")</f>
        <v/>
      </c>
      <c r="S213" s="575" t="str">
        <f t="shared" si="2"/>
        <v/>
      </c>
      <c r="T213" s="575" t="str">
        <f t="shared" si="3"/>
        <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15.6" outlineLevel="2" x14ac:dyDescent="0.3">
      <c r="B214" s="269"/>
      <c r="C214" s="962"/>
      <c r="D214" s="250"/>
      <c r="E214" s="249"/>
      <c r="F214" s="928"/>
      <c r="G214" s="269"/>
      <c r="H214" s="270"/>
      <c r="I214" s="270"/>
      <c r="J214" s="271"/>
      <c r="K214" s="623"/>
      <c r="L214" s="249"/>
      <c r="M214" s="563"/>
      <c r="N214" s="1002" t="str">
        <f>IFERROR(IF(E214=FAAS!$B$81,I214,VLOOKUP(E214,FAAS!$K$113:$L$134,2,FALSE)),"")</f>
        <v/>
      </c>
      <c r="O214" s="1002" t="str">
        <f t="shared" si="6"/>
        <v/>
      </c>
      <c r="P214" s="1002" t="str">
        <f>IFERROR(IF(VLOOKUP(B214,'Dados gerais'!$D$33:$F$35,3,FALSE)="",VLOOKUP('Outras emissões de processo'!B214,'Fatores de Emissão'!$B$12:$E$14,3, FALSE),VLOOKUP(B214,'Dados gerais'!$D$33:$F$35,3,FALSE)),"")</f>
        <v/>
      </c>
      <c r="Q214" s="1002" t="str">
        <f t="shared" si="7"/>
        <v/>
      </c>
      <c r="R214" s="575" t="str">
        <f>IFERROR(IF(G214=FAAS!$K$135,'Outras emissões de processo'!I214,VLOOKUP(G214,FAAS!$B$63:$J$82,9,FALSE)),"")</f>
        <v/>
      </c>
      <c r="S214" s="575" t="str">
        <f t="shared" si="2"/>
        <v/>
      </c>
      <c r="T214" s="575" t="str">
        <f t="shared" si="3"/>
        <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15.6" outlineLevel="2" x14ac:dyDescent="0.3">
      <c r="B215" s="269"/>
      <c r="C215" s="962"/>
      <c r="D215" s="250"/>
      <c r="E215" s="249"/>
      <c r="F215" s="928"/>
      <c r="G215" s="269"/>
      <c r="H215" s="270"/>
      <c r="I215" s="270"/>
      <c r="J215" s="271"/>
      <c r="K215" s="623"/>
      <c r="L215" s="249"/>
      <c r="M215" s="563"/>
      <c r="N215" s="1002" t="str">
        <f>IFERROR(IF(E215=FAAS!$B$81,I215,VLOOKUP(E215,FAAS!$K$113:$L$134,2,FALSE)),"")</f>
        <v/>
      </c>
      <c r="O215" s="1002" t="str">
        <f t="shared" si="6"/>
        <v/>
      </c>
      <c r="P215" s="1002" t="str">
        <f>IFERROR(IF(VLOOKUP(B215,'Dados gerais'!$D$33:$F$35,3,FALSE)="",VLOOKUP('Outras emissões de processo'!B215,'Fatores de Emissão'!$B$12:$E$14,3, FALSE),VLOOKUP(B215,'Dados gerais'!$D$33:$F$35,3,FALSE)),"")</f>
        <v/>
      </c>
      <c r="Q215" s="1002" t="str">
        <f t="shared" si="7"/>
        <v/>
      </c>
      <c r="R215" s="575" t="str">
        <f>IFERROR(IF(G215=FAAS!$K$135,'Outras emissões de processo'!I215,VLOOKUP(G215,FAAS!$B$63:$J$82,9,FALSE)),"")</f>
        <v/>
      </c>
      <c r="S215" s="575" t="str">
        <f t="shared" si="2"/>
        <v/>
      </c>
      <c r="T215" s="575" t="str">
        <f t="shared" si="3"/>
        <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15.6" outlineLevel="2" x14ac:dyDescent="0.3">
      <c r="B216" s="269"/>
      <c r="C216" s="962"/>
      <c r="D216" s="250"/>
      <c r="E216" s="249"/>
      <c r="F216" s="928"/>
      <c r="G216" s="269"/>
      <c r="H216" s="270"/>
      <c r="I216" s="270"/>
      <c r="J216" s="271"/>
      <c r="K216" s="623"/>
      <c r="L216" s="249"/>
      <c r="M216" s="563"/>
      <c r="N216" s="1002" t="str">
        <f>IFERROR(IF(E216=FAAS!$B$81,I216,VLOOKUP(E216,FAAS!$K$113:$L$134,2,FALSE)),"")</f>
        <v/>
      </c>
      <c r="O216" s="1002" t="str">
        <f t="shared" si="6"/>
        <v/>
      </c>
      <c r="P216" s="1002" t="str">
        <f>IFERROR(IF(VLOOKUP(B216,'Dados gerais'!$D$33:$F$35,3,FALSE)="",VLOOKUP('Outras emissões de processo'!B216,'Fatores de Emissão'!$B$12:$E$14,3, FALSE),VLOOKUP(B216,'Dados gerais'!$D$33:$F$35,3,FALSE)),"")</f>
        <v/>
      </c>
      <c r="Q216" s="1002" t="str">
        <f t="shared" si="7"/>
        <v/>
      </c>
      <c r="R216" s="575" t="str">
        <f>IFERROR(IF(G216=FAAS!$K$135,'Outras emissões de processo'!I216,VLOOKUP(G216,FAAS!$B$63:$J$82,9,FALSE)),"")</f>
        <v/>
      </c>
      <c r="S216" s="575" t="str">
        <f t="shared" si="2"/>
        <v/>
      </c>
      <c r="T216" s="575" t="str">
        <f t="shared" si="3"/>
        <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15.6" outlineLevel="2" x14ac:dyDescent="0.3">
      <c r="B217" s="269"/>
      <c r="C217" s="962"/>
      <c r="D217" s="250"/>
      <c r="E217" s="249"/>
      <c r="F217" s="928"/>
      <c r="G217" s="269"/>
      <c r="H217" s="270"/>
      <c r="I217" s="270"/>
      <c r="J217" s="271"/>
      <c r="K217" s="623"/>
      <c r="L217" s="249"/>
      <c r="M217" s="563"/>
      <c r="N217" s="1002" t="str">
        <f>IFERROR(IF(E217=FAAS!$B$81,I217,VLOOKUP(E217,FAAS!$K$113:$L$134,2,FALSE)),"")</f>
        <v/>
      </c>
      <c r="O217" s="1002" t="str">
        <f t="shared" si="6"/>
        <v/>
      </c>
      <c r="P217" s="1002" t="str">
        <f>IFERROR(IF(VLOOKUP(B217,'Dados gerais'!$D$33:$F$35,3,FALSE)="",VLOOKUP('Outras emissões de processo'!B217,'Fatores de Emissão'!$B$12:$E$14,3, FALSE),VLOOKUP(B217,'Dados gerais'!$D$33:$F$35,3,FALSE)),"")</f>
        <v/>
      </c>
      <c r="Q217" s="1002" t="str">
        <f t="shared" si="7"/>
        <v/>
      </c>
      <c r="R217" s="575" t="str">
        <f>IFERROR(IF(G217=FAAS!$K$135,'Outras emissões de processo'!I217,VLOOKUP(G217,FAAS!$B$63:$J$82,9,FALSE)),"")</f>
        <v/>
      </c>
      <c r="S217" s="575" t="str">
        <f t="shared" si="2"/>
        <v/>
      </c>
      <c r="T217" s="575" t="str">
        <f t="shared" si="3"/>
        <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15.6" outlineLevel="2" x14ac:dyDescent="0.3">
      <c r="B218" s="269"/>
      <c r="C218" s="962"/>
      <c r="D218" s="250"/>
      <c r="E218" s="249"/>
      <c r="F218" s="928"/>
      <c r="G218" s="269"/>
      <c r="H218" s="270"/>
      <c r="I218" s="270"/>
      <c r="J218" s="271"/>
      <c r="K218" s="623"/>
      <c r="L218" s="249"/>
      <c r="M218" s="563"/>
      <c r="N218" s="1002" t="str">
        <f>IFERROR(IF(E218=FAAS!$B$81,I218,VLOOKUP(E218,FAAS!$K$113:$L$134,2,FALSE)),"")</f>
        <v/>
      </c>
      <c r="O218" s="1002" t="str">
        <f t="shared" si="6"/>
        <v/>
      </c>
      <c r="P218" s="1002" t="str">
        <f>IFERROR(IF(VLOOKUP(B218,'Dados gerais'!$D$33:$F$35,3,FALSE)="",VLOOKUP('Outras emissões de processo'!B218,'Fatores de Emissão'!$B$12:$E$14,3, FALSE),VLOOKUP(B218,'Dados gerais'!$D$33:$F$35,3,FALSE)),"")</f>
        <v/>
      </c>
      <c r="Q218" s="1002" t="str">
        <f t="shared" si="7"/>
        <v/>
      </c>
      <c r="R218" s="575" t="str">
        <f>IFERROR(IF(G218=FAAS!$K$135,'Outras emissões de processo'!I218,VLOOKUP(G218,FAAS!$B$63:$J$82,9,FALSE)),"")</f>
        <v/>
      </c>
      <c r="S218" s="575" t="str">
        <f t="shared" si="2"/>
        <v/>
      </c>
      <c r="T218" s="575" t="str">
        <f t="shared" si="3"/>
        <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15.6" outlineLevel="2" x14ac:dyDescent="0.3">
      <c r="B219" s="269"/>
      <c r="C219" s="962"/>
      <c r="D219" s="250"/>
      <c r="E219" s="249"/>
      <c r="F219" s="928"/>
      <c r="G219" s="269"/>
      <c r="H219" s="270"/>
      <c r="I219" s="270"/>
      <c r="J219" s="271"/>
      <c r="K219" s="623"/>
      <c r="L219" s="249"/>
      <c r="M219" s="563"/>
      <c r="N219" s="1002" t="str">
        <f>IFERROR(IF(E219=FAAS!$B$81,I219,VLOOKUP(E219,FAAS!$K$113:$L$134,2,FALSE)),"")</f>
        <v/>
      </c>
      <c r="O219" s="1002" t="str">
        <f t="shared" si="6"/>
        <v/>
      </c>
      <c r="P219" s="1002" t="str">
        <f>IFERROR(IF(VLOOKUP(B219,'Dados gerais'!$D$33:$F$35,3,FALSE)="",VLOOKUP('Outras emissões de processo'!B219,'Fatores de Emissão'!$B$12:$E$14,3, FALSE),VLOOKUP(B219,'Dados gerais'!$D$33:$F$35,3,FALSE)),"")</f>
        <v/>
      </c>
      <c r="Q219" s="1002" t="str">
        <f t="shared" si="7"/>
        <v/>
      </c>
      <c r="R219" s="575" t="str">
        <f>IFERROR(IF(G219=FAAS!$K$135,'Outras emissões de processo'!I219,VLOOKUP(G219,FAAS!$B$63:$J$82,9,FALSE)),"")</f>
        <v/>
      </c>
      <c r="S219" s="575" t="str">
        <f t="shared" si="2"/>
        <v/>
      </c>
      <c r="T219" s="575" t="str">
        <f t="shared" si="3"/>
        <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15.6" outlineLevel="2" x14ac:dyDescent="0.3">
      <c r="B220" s="269"/>
      <c r="C220" s="962"/>
      <c r="D220" s="250"/>
      <c r="E220" s="249"/>
      <c r="F220" s="928"/>
      <c r="G220" s="269"/>
      <c r="H220" s="270"/>
      <c r="I220" s="270"/>
      <c r="J220" s="271"/>
      <c r="K220" s="623"/>
      <c r="L220" s="249"/>
      <c r="M220" s="563"/>
      <c r="N220" s="1002" t="str">
        <f>IFERROR(IF(E220=FAAS!$B$81,I220,VLOOKUP(E220,FAAS!$K$113:$L$134,2,FALSE)),"")</f>
        <v/>
      </c>
      <c r="O220" s="1002" t="str">
        <f t="shared" si="6"/>
        <v/>
      </c>
      <c r="P220" s="1002" t="str">
        <f>IFERROR(IF(VLOOKUP(B220,'Dados gerais'!$D$33:$F$35,3,FALSE)="",VLOOKUP('Outras emissões de processo'!B220,'Fatores de Emissão'!$B$12:$E$14,3, FALSE),VLOOKUP(B220,'Dados gerais'!$D$33:$F$35,3,FALSE)),"")</f>
        <v/>
      </c>
      <c r="Q220" s="1002" t="str">
        <f t="shared" si="7"/>
        <v/>
      </c>
      <c r="R220" s="575" t="str">
        <f>IFERROR(IF(G220=FAAS!$K$135,'Outras emissões de processo'!I220,VLOOKUP(G220,FAAS!$B$63:$J$82,9,FALSE)),"")</f>
        <v/>
      </c>
      <c r="S220" s="575" t="str">
        <f t="shared" si="2"/>
        <v/>
      </c>
      <c r="T220" s="575" t="str">
        <f t="shared" si="3"/>
        <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15.6" outlineLevel="2" x14ac:dyDescent="0.3">
      <c r="B221" s="269"/>
      <c r="C221" s="962"/>
      <c r="D221" s="250"/>
      <c r="E221" s="249"/>
      <c r="F221" s="928"/>
      <c r="G221" s="269"/>
      <c r="H221" s="270"/>
      <c r="I221" s="270"/>
      <c r="J221" s="271"/>
      <c r="K221" s="623"/>
      <c r="L221" s="249"/>
      <c r="M221" s="563"/>
      <c r="N221" s="1002" t="str">
        <f>IFERROR(IF(E221=FAAS!$B$81,I221,VLOOKUP(E221,FAAS!$K$113:$L$134,2,FALSE)),"")</f>
        <v/>
      </c>
      <c r="O221" s="1002" t="str">
        <f t="shared" si="6"/>
        <v/>
      </c>
      <c r="P221" s="1002" t="str">
        <f>IFERROR(IF(VLOOKUP(B221,'Dados gerais'!$D$33:$F$35,3,FALSE)="",VLOOKUP('Outras emissões de processo'!B221,'Fatores de Emissão'!$B$12:$E$14,3, FALSE),VLOOKUP(B221,'Dados gerais'!$D$33:$F$35,3,FALSE)),"")</f>
        <v/>
      </c>
      <c r="Q221" s="1002" t="str">
        <f t="shared" si="7"/>
        <v/>
      </c>
      <c r="R221" s="575" t="str">
        <f>IFERROR(IF(G221=FAAS!$K$135,'Outras emissões de processo'!I221,VLOOKUP(G221,FAAS!$B$63:$J$82,9,FALSE)),"")</f>
        <v/>
      </c>
      <c r="S221" s="575" t="str">
        <f t="shared" si="2"/>
        <v/>
      </c>
      <c r="T221" s="575" t="str">
        <f t="shared" si="3"/>
        <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15.6" outlineLevel="2" x14ac:dyDescent="0.3">
      <c r="B222" s="269"/>
      <c r="C222" s="962"/>
      <c r="D222" s="250"/>
      <c r="E222" s="249"/>
      <c r="F222" s="928"/>
      <c r="G222" s="269"/>
      <c r="H222" s="270"/>
      <c r="I222" s="270"/>
      <c r="J222" s="271"/>
      <c r="K222" s="623"/>
      <c r="L222" s="249"/>
      <c r="M222" s="563"/>
      <c r="N222" s="1002" t="str">
        <f>IFERROR(IF(E222=FAAS!$B$81,I222,VLOOKUP(E222,FAAS!$K$113:$L$134,2,FALSE)),"")</f>
        <v/>
      </c>
      <c r="O222" s="1002" t="str">
        <f t="shared" si="6"/>
        <v/>
      </c>
      <c r="P222" s="1002" t="str">
        <f>IFERROR(IF(VLOOKUP(B222,'Dados gerais'!$D$33:$F$35,3,FALSE)="",VLOOKUP('Outras emissões de processo'!B222,'Fatores de Emissão'!$B$12:$E$14,3, FALSE),VLOOKUP(B222,'Dados gerais'!$D$33:$F$35,3,FALSE)),"")</f>
        <v/>
      </c>
      <c r="Q222" s="1002" t="str">
        <f t="shared" si="7"/>
        <v/>
      </c>
      <c r="R222" s="575" t="str">
        <f>IFERROR(IF(G222=FAAS!$K$135,'Outras emissões de processo'!I222,VLOOKUP(G222,FAAS!$B$63:$J$82,9,FALSE)),"")</f>
        <v/>
      </c>
      <c r="S222" s="575" t="str">
        <f t="shared" si="2"/>
        <v/>
      </c>
      <c r="T222" s="575" t="str">
        <f t="shared" si="3"/>
        <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15.6" outlineLevel="2" x14ac:dyDescent="0.3">
      <c r="B223" s="269"/>
      <c r="C223" s="962"/>
      <c r="D223" s="250"/>
      <c r="E223" s="249"/>
      <c r="F223" s="928"/>
      <c r="G223" s="269"/>
      <c r="H223" s="270"/>
      <c r="I223" s="270"/>
      <c r="J223" s="271"/>
      <c r="K223" s="623"/>
      <c r="L223" s="249"/>
      <c r="M223" s="563"/>
      <c r="N223" s="1002" t="str">
        <f>IFERROR(IF(E223=FAAS!$B$81,I223,VLOOKUP(E223,FAAS!$K$113:$L$134,2,FALSE)),"")</f>
        <v/>
      </c>
      <c r="O223" s="1002" t="str">
        <f t="shared" si="6"/>
        <v/>
      </c>
      <c r="P223" s="1002" t="str">
        <f>IFERROR(IF(VLOOKUP(B223,'Dados gerais'!$D$33:$F$35,3,FALSE)="",VLOOKUP('Outras emissões de processo'!B223,'Fatores de Emissão'!$B$12:$E$14,3, FALSE),VLOOKUP(B223,'Dados gerais'!$D$33:$F$35,3,FALSE)),"")</f>
        <v/>
      </c>
      <c r="Q223" s="1002" t="str">
        <f t="shared" si="7"/>
        <v/>
      </c>
      <c r="R223" s="575" t="str">
        <f>IFERROR(IF(G223=FAAS!$K$135,'Outras emissões de processo'!I223,VLOOKUP(G223,FAAS!$B$63:$J$82,9,FALSE)),"")</f>
        <v/>
      </c>
      <c r="S223" s="575" t="str">
        <f t="shared" si="2"/>
        <v/>
      </c>
      <c r="T223" s="575" t="str">
        <f t="shared" si="3"/>
        <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15.6" outlineLevel="2" x14ac:dyDescent="0.3">
      <c r="B224" s="269"/>
      <c r="C224" s="962"/>
      <c r="D224" s="250"/>
      <c r="E224" s="249"/>
      <c r="F224" s="928"/>
      <c r="G224" s="269"/>
      <c r="H224" s="270"/>
      <c r="I224" s="270"/>
      <c r="J224" s="271"/>
      <c r="K224" s="623"/>
      <c r="L224" s="249"/>
      <c r="M224" s="563"/>
      <c r="N224" s="1002" t="str">
        <f>IFERROR(IF(E224=FAAS!$B$81,I224,VLOOKUP(E224,FAAS!$K$113:$L$134,2,FALSE)),"")</f>
        <v/>
      </c>
      <c r="O224" s="1002" t="str">
        <f t="shared" si="6"/>
        <v/>
      </c>
      <c r="P224" s="1002" t="str">
        <f>IFERROR(IF(VLOOKUP(B224,'Dados gerais'!$D$33:$F$35,3,FALSE)="",VLOOKUP('Outras emissões de processo'!B224,'Fatores de Emissão'!$B$12:$E$14,3, FALSE),VLOOKUP(B224,'Dados gerais'!$D$33:$F$35,3,FALSE)),"")</f>
        <v/>
      </c>
      <c r="Q224" s="1002" t="str">
        <f t="shared" si="7"/>
        <v/>
      </c>
      <c r="R224" s="575" t="str">
        <f>IFERROR(IF(G224=FAAS!$K$135,'Outras emissões de processo'!I224,VLOOKUP(G224,FAAS!$B$63:$J$82,9,FALSE)),"")</f>
        <v/>
      </c>
      <c r="S224" s="575" t="str">
        <f t="shared" si="2"/>
        <v/>
      </c>
      <c r="T224" s="575" t="str">
        <f t="shared" si="3"/>
        <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15.6" outlineLevel="2" x14ac:dyDescent="0.3">
      <c r="B225" s="269"/>
      <c r="C225" s="962"/>
      <c r="D225" s="250"/>
      <c r="E225" s="249"/>
      <c r="F225" s="928"/>
      <c r="G225" s="269"/>
      <c r="H225" s="270"/>
      <c r="I225" s="270"/>
      <c r="J225" s="271"/>
      <c r="K225" s="623"/>
      <c r="L225" s="249"/>
      <c r="M225" s="563"/>
      <c r="N225" s="1002" t="str">
        <f>IFERROR(IF(E225=FAAS!$B$81,I225,VLOOKUP(E225,FAAS!$K$113:$L$134,2,FALSE)),"")</f>
        <v/>
      </c>
      <c r="O225" s="1002" t="str">
        <f t="shared" si="6"/>
        <v/>
      </c>
      <c r="P225" s="1002" t="str">
        <f>IFERROR(IF(VLOOKUP(B225,'Dados gerais'!$D$33:$F$35,3,FALSE)="",VLOOKUP('Outras emissões de processo'!B225,'Fatores de Emissão'!$B$12:$E$14,3, FALSE),VLOOKUP(B225,'Dados gerais'!$D$33:$F$35,3,FALSE)),"")</f>
        <v/>
      </c>
      <c r="Q225" s="1002" t="str">
        <f t="shared" si="7"/>
        <v/>
      </c>
      <c r="R225" s="575" t="str">
        <f>IFERROR(IF(G225=FAAS!$K$135,'Outras emissões de processo'!I225,VLOOKUP(G225,FAAS!$B$63:$J$82,9,FALSE)),"")</f>
        <v/>
      </c>
      <c r="S225" s="575" t="str">
        <f t="shared" si="2"/>
        <v/>
      </c>
      <c r="T225" s="575" t="str">
        <f t="shared" si="3"/>
        <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15.6" outlineLevel="2" x14ac:dyDescent="0.3">
      <c r="B226" s="269"/>
      <c r="C226" s="962"/>
      <c r="D226" s="250"/>
      <c r="E226" s="249"/>
      <c r="F226" s="928"/>
      <c r="G226" s="269"/>
      <c r="H226" s="270"/>
      <c r="I226" s="270"/>
      <c r="J226" s="271"/>
      <c r="K226" s="623"/>
      <c r="L226" s="249"/>
      <c r="M226" s="563"/>
      <c r="N226" s="1002" t="str">
        <f>IFERROR(IF(E226=FAAS!$B$81,I226,VLOOKUP(E226,FAAS!$K$113:$L$134,2,FALSE)),"")</f>
        <v/>
      </c>
      <c r="O226" s="1002" t="str">
        <f t="shared" si="6"/>
        <v/>
      </c>
      <c r="P226" s="1002" t="str">
        <f>IFERROR(IF(VLOOKUP(B226,'Dados gerais'!$D$33:$F$35,3,FALSE)="",VLOOKUP('Outras emissões de processo'!B226,'Fatores de Emissão'!$B$12:$E$14,3, FALSE),VLOOKUP(B226,'Dados gerais'!$D$33:$F$35,3,FALSE)),"")</f>
        <v/>
      </c>
      <c r="Q226" s="1002" t="str">
        <f t="shared" si="7"/>
        <v/>
      </c>
      <c r="R226" s="575" t="str">
        <f>IFERROR(IF(G226=FAAS!$K$135,'Outras emissões de processo'!I226,VLOOKUP(G226,FAAS!$B$63:$J$82,9,FALSE)),"")</f>
        <v/>
      </c>
      <c r="S226" s="575" t="str">
        <f t="shared" si="2"/>
        <v/>
      </c>
      <c r="T226" s="575" t="str">
        <f t="shared" si="3"/>
        <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15.6" outlineLevel="2" x14ac:dyDescent="0.3">
      <c r="B227" s="269"/>
      <c r="C227" s="962"/>
      <c r="D227" s="250"/>
      <c r="E227" s="249"/>
      <c r="F227" s="928"/>
      <c r="G227" s="269"/>
      <c r="H227" s="270"/>
      <c r="I227" s="270"/>
      <c r="J227" s="271"/>
      <c r="K227" s="623"/>
      <c r="L227" s="249"/>
      <c r="M227" s="563"/>
      <c r="N227" s="1002" t="str">
        <f>IFERROR(IF(E227=FAAS!$B$81,I227,VLOOKUP(E227,FAAS!$K$113:$L$134,2,FALSE)),"")</f>
        <v/>
      </c>
      <c r="O227" s="1002" t="str">
        <f t="shared" si="6"/>
        <v/>
      </c>
      <c r="P227" s="1002" t="str">
        <f>IFERROR(IF(VLOOKUP(B227,'Dados gerais'!$D$33:$F$35,3,FALSE)="",VLOOKUP('Outras emissões de processo'!B227,'Fatores de Emissão'!$B$12:$E$14,3, FALSE),VLOOKUP(B227,'Dados gerais'!$D$33:$F$35,3,FALSE)),"")</f>
        <v/>
      </c>
      <c r="Q227" s="1002" t="str">
        <f t="shared" si="7"/>
        <v/>
      </c>
      <c r="R227" s="575" t="str">
        <f>IFERROR(IF(G227=FAAS!$K$135,'Outras emissões de processo'!I227,VLOOKUP(G227,FAAS!$B$63:$J$82,9,FALSE)),"")</f>
        <v/>
      </c>
      <c r="S227" s="575" t="str">
        <f t="shared" si="2"/>
        <v/>
      </c>
      <c r="T227" s="575" t="str">
        <f t="shared" si="3"/>
        <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15.6" outlineLevel="2" x14ac:dyDescent="0.3">
      <c r="B228" s="269"/>
      <c r="C228" s="962"/>
      <c r="D228" s="250"/>
      <c r="E228" s="249"/>
      <c r="F228" s="928"/>
      <c r="G228" s="269"/>
      <c r="H228" s="270"/>
      <c r="I228" s="270"/>
      <c r="J228" s="271"/>
      <c r="K228" s="623"/>
      <c r="L228" s="249"/>
      <c r="M228" s="563"/>
      <c r="N228" s="1002" t="str">
        <f>IFERROR(IF(E228=FAAS!$B$81,I228,VLOOKUP(E228,FAAS!$K$113:$L$134,2,FALSE)),"")</f>
        <v/>
      </c>
      <c r="O228" s="1002" t="str">
        <f t="shared" si="6"/>
        <v/>
      </c>
      <c r="P228" s="1002" t="str">
        <f>IFERROR(IF(VLOOKUP(B228,'Dados gerais'!$D$33:$F$35,3,FALSE)="",VLOOKUP('Outras emissões de processo'!B228,'Fatores de Emissão'!$B$12:$E$14,3, FALSE),VLOOKUP(B228,'Dados gerais'!$D$33:$F$35,3,FALSE)),"")</f>
        <v/>
      </c>
      <c r="Q228" s="1002" t="str">
        <f t="shared" si="7"/>
        <v/>
      </c>
      <c r="R228" s="575" t="str">
        <f>IFERROR(IF(G228=FAAS!$K$135,'Outras emissões de processo'!I228,VLOOKUP(G228,FAAS!$B$63:$J$82,9,FALSE)),"")</f>
        <v/>
      </c>
      <c r="S228" s="575" t="str">
        <f t="shared" si="2"/>
        <v/>
      </c>
      <c r="T228" s="575" t="str">
        <f t="shared" si="3"/>
        <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15.6" outlineLevel="2" x14ac:dyDescent="0.3">
      <c r="B229" s="269"/>
      <c r="C229" s="962"/>
      <c r="D229" s="250"/>
      <c r="E229" s="249"/>
      <c r="F229" s="928"/>
      <c r="G229" s="269"/>
      <c r="H229" s="270"/>
      <c r="I229" s="270"/>
      <c r="J229" s="271"/>
      <c r="K229" s="623"/>
      <c r="L229" s="249"/>
      <c r="M229" s="563"/>
      <c r="N229" s="1002" t="str">
        <f>IFERROR(IF(E229=FAAS!$B$81,I229,VLOOKUP(E229,FAAS!$K$113:$L$134,2,FALSE)),"")</f>
        <v/>
      </c>
      <c r="O229" s="1002" t="str">
        <f t="shared" si="6"/>
        <v/>
      </c>
      <c r="P229" s="1002" t="str">
        <f>IFERROR(IF(VLOOKUP(B229,'Dados gerais'!$D$33:$F$35,3,FALSE)="",VLOOKUP('Outras emissões de processo'!B229,'Fatores de Emissão'!$B$12:$E$14,3, FALSE),VLOOKUP(B229,'Dados gerais'!$D$33:$F$35,3,FALSE)),"")</f>
        <v/>
      </c>
      <c r="Q229" s="1002" t="str">
        <f t="shared" si="7"/>
        <v/>
      </c>
      <c r="R229" s="575" t="str">
        <f>IFERROR(IF(G229=FAAS!$K$135,'Outras emissões de processo'!I229,VLOOKUP(G229,FAAS!$B$63:$J$82,9,FALSE)),"")</f>
        <v/>
      </c>
      <c r="S229" s="575" t="str">
        <f t="shared" si="2"/>
        <v/>
      </c>
      <c r="T229" s="575" t="str">
        <f t="shared" si="3"/>
        <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15.6" outlineLevel="2" x14ac:dyDescent="0.3">
      <c r="B230" s="269"/>
      <c r="C230" s="962"/>
      <c r="D230" s="250"/>
      <c r="E230" s="249"/>
      <c r="F230" s="928"/>
      <c r="G230" s="269"/>
      <c r="H230" s="270"/>
      <c r="I230" s="270"/>
      <c r="J230" s="271"/>
      <c r="K230" s="623"/>
      <c r="L230" s="249"/>
      <c r="M230" s="563"/>
      <c r="N230" s="1002" t="str">
        <f>IFERROR(IF(E230=FAAS!$B$81,I230,VLOOKUP(E230,FAAS!$K$113:$L$134,2,FALSE)),"")</f>
        <v/>
      </c>
      <c r="O230" s="1002" t="str">
        <f t="shared" si="6"/>
        <v/>
      </c>
      <c r="P230" s="1002" t="str">
        <f>IFERROR(IF(VLOOKUP(B230,'Dados gerais'!$D$33:$F$35,3,FALSE)="",VLOOKUP('Outras emissões de processo'!B230,'Fatores de Emissão'!$B$12:$E$14,3, FALSE),VLOOKUP(B230,'Dados gerais'!$D$33:$F$35,3,FALSE)),"")</f>
        <v/>
      </c>
      <c r="Q230" s="1002" t="str">
        <f t="shared" si="7"/>
        <v/>
      </c>
      <c r="R230" s="575" t="str">
        <f>IFERROR(IF(G230=FAAS!$K$135,'Outras emissões de processo'!I230,VLOOKUP(G230,FAAS!$B$63:$J$82,9,FALSE)),"")</f>
        <v/>
      </c>
      <c r="S230" s="575" t="str">
        <f t="shared" si="2"/>
        <v/>
      </c>
      <c r="T230" s="575" t="str">
        <f t="shared" si="3"/>
        <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15.6" outlineLevel="2" x14ac:dyDescent="0.3">
      <c r="B231" s="269"/>
      <c r="C231" s="962"/>
      <c r="D231" s="250"/>
      <c r="E231" s="249"/>
      <c r="F231" s="928"/>
      <c r="G231" s="269"/>
      <c r="H231" s="270"/>
      <c r="I231" s="270"/>
      <c r="J231" s="271"/>
      <c r="K231" s="623"/>
      <c r="L231" s="249"/>
      <c r="M231" s="563"/>
      <c r="N231" s="1002" t="str">
        <f>IFERROR(IF(E231=FAAS!$B$81,I231,VLOOKUP(E231,FAAS!$K$113:$L$134,2,FALSE)),"")</f>
        <v/>
      </c>
      <c r="O231" s="1002" t="str">
        <f t="shared" si="6"/>
        <v/>
      </c>
      <c r="P231" s="1002" t="str">
        <f>IFERROR(IF(VLOOKUP(B231,'Dados gerais'!$D$33:$F$35,3,FALSE)="",VLOOKUP('Outras emissões de processo'!B231,'Fatores de Emissão'!$B$12:$E$14,3, FALSE),VLOOKUP(B231,'Dados gerais'!$D$33:$F$35,3,FALSE)),"")</f>
        <v/>
      </c>
      <c r="Q231" s="1002" t="str">
        <f t="shared" si="7"/>
        <v/>
      </c>
      <c r="R231" s="575" t="str">
        <f>IFERROR(IF(G231=FAAS!$K$135,'Outras emissões de processo'!I231,VLOOKUP(G231,FAAS!$B$63:$J$82,9,FALSE)),"")</f>
        <v/>
      </c>
      <c r="S231" s="575" t="str">
        <f t="shared" si="2"/>
        <v/>
      </c>
      <c r="T231" s="575" t="str">
        <f t="shared" si="3"/>
        <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15.6" outlineLevel="2" x14ac:dyDescent="0.3">
      <c r="B232" s="269"/>
      <c r="C232" s="962"/>
      <c r="D232" s="250"/>
      <c r="E232" s="249"/>
      <c r="F232" s="928"/>
      <c r="G232" s="269"/>
      <c r="H232" s="270"/>
      <c r="I232" s="270"/>
      <c r="J232" s="271"/>
      <c r="K232" s="623"/>
      <c r="L232" s="249"/>
      <c r="M232" s="563"/>
      <c r="N232" s="1002" t="str">
        <f>IFERROR(IF(E232=FAAS!$B$81,I232,VLOOKUP(E232,FAAS!$K$113:$L$134,2,FALSE)),"")</f>
        <v/>
      </c>
      <c r="O232" s="1002" t="str">
        <f t="shared" si="6"/>
        <v/>
      </c>
      <c r="P232" s="1002" t="str">
        <f>IFERROR(IF(VLOOKUP(B232,'Dados gerais'!$D$33:$F$35,3,FALSE)="",VLOOKUP('Outras emissões de processo'!B232,'Fatores de Emissão'!$B$12:$E$14,3, FALSE),VLOOKUP(B232,'Dados gerais'!$D$33:$F$35,3,FALSE)),"")</f>
        <v/>
      </c>
      <c r="Q232" s="1002" t="str">
        <f t="shared" si="7"/>
        <v/>
      </c>
      <c r="R232" s="575" t="str">
        <f>IFERROR(IF(G232=FAAS!$K$135,'Outras emissões de processo'!I232,VLOOKUP(G232,FAAS!$B$63:$J$82,9,FALSE)),"")</f>
        <v/>
      </c>
      <c r="S232" s="575" t="str">
        <f t="shared" ref="S232:S266" si="8">IFERROR(R232*K232,"")</f>
        <v/>
      </c>
      <c r="T232" s="575" t="str">
        <f t="shared" ref="T232:T266" si="9">IFERROR(S232*P232,"")</f>
        <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15.6" outlineLevel="2" x14ac:dyDescent="0.3">
      <c r="B233" s="269"/>
      <c r="C233" s="962"/>
      <c r="D233" s="250"/>
      <c r="E233" s="249"/>
      <c r="F233" s="928"/>
      <c r="G233" s="269"/>
      <c r="H233" s="270"/>
      <c r="I233" s="270"/>
      <c r="J233" s="271"/>
      <c r="K233" s="623"/>
      <c r="L233" s="249"/>
      <c r="M233" s="563"/>
      <c r="N233" s="1002" t="str">
        <f>IFERROR(IF(E233=FAAS!$B$81,I233,VLOOKUP(E233,FAAS!$K$113:$L$134,2,FALSE)),"")</f>
        <v/>
      </c>
      <c r="O233" s="1002" t="str">
        <f t="shared" ref="O233:O266" si="12">IFERROR(N233*F233,"")</f>
        <v/>
      </c>
      <c r="P233" s="1002" t="str">
        <f>IFERROR(IF(VLOOKUP(B233,'Dados gerais'!$D$33:$F$35,3,FALSE)="",VLOOKUP('Outras emissões de processo'!B233,'Fatores de Emissão'!$B$12:$E$14,3, FALSE),VLOOKUP(B233,'Dados gerais'!$D$33:$F$35,3,FALSE)),"")</f>
        <v/>
      </c>
      <c r="Q233" s="1002" t="str">
        <f t="shared" ref="Q233:Q266" si="13">IFERROR(O233/P233,"")</f>
        <v/>
      </c>
      <c r="R233" s="575" t="str">
        <f>IFERROR(IF(G233=FAAS!$K$135,'Outras emissões de processo'!I233,VLOOKUP(G233,FAAS!$B$63:$J$82,9,FALSE)),"")</f>
        <v/>
      </c>
      <c r="S233" s="575" t="str">
        <f t="shared" si="8"/>
        <v/>
      </c>
      <c r="T233" s="575" t="str">
        <f t="shared" si="9"/>
        <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15.6" outlineLevel="2" x14ac:dyDescent="0.3">
      <c r="B234" s="269"/>
      <c r="C234" s="962"/>
      <c r="D234" s="250"/>
      <c r="E234" s="249"/>
      <c r="F234" s="928"/>
      <c r="G234" s="269"/>
      <c r="H234" s="270"/>
      <c r="I234" s="270"/>
      <c r="J234" s="271"/>
      <c r="K234" s="623"/>
      <c r="L234" s="249"/>
      <c r="M234" s="563"/>
      <c r="N234" s="1002" t="str">
        <f>IFERROR(IF(E234=FAAS!$B$81,I234,VLOOKUP(E234,FAAS!$K$113:$L$134,2,FALSE)),"")</f>
        <v/>
      </c>
      <c r="O234" s="1002" t="str">
        <f t="shared" si="12"/>
        <v/>
      </c>
      <c r="P234" s="1002" t="str">
        <f>IFERROR(IF(VLOOKUP(B234,'Dados gerais'!$D$33:$F$35,3,FALSE)="",VLOOKUP('Outras emissões de processo'!B234,'Fatores de Emissão'!$B$12:$E$14,3, FALSE),VLOOKUP(B234,'Dados gerais'!$D$33:$F$35,3,FALSE)),"")</f>
        <v/>
      </c>
      <c r="Q234" s="1002" t="str">
        <f t="shared" si="13"/>
        <v/>
      </c>
      <c r="R234" s="575" t="str">
        <f>IFERROR(IF(G234=FAAS!$K$135,'Outras emissões de processo'!I234,VLOOKUP(G234,FAAS!$B$63:$J$82,9,FALSE)),"")</f>
        <v/>
      </c>
      <c r="S234" s="575" t="str">
        <f t="shared" si="8"/>
        <v/>
      </c>
      <c r="T234" s="575" t="str">
        <f t="shared" si="9"/>
        <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15.6" outlineLevel="2" x14ac:dyDescent="0.3">
      <c r="B235" s="269"/>
      <c r="C235" s="962"/>
      <c r="D235" s="250"/>
      <c r="E235" s="249"/>
      <c r="F235" s="928"/>
      <c r="G235" s="269"/>
      <c r="H235" s="270"/>
      <c r="I235" s="270"/>
      <c r="J235" s="271"/>
      <c r="K235" s="623"/>
      <c r="L235" s="249"/>
      <c r="M235" s="563"/>
      <c r="N235" s="1002" t="str">
        <f>IFERROR(IF(E235=FAAS!$B$81,I235,VLOOKUP(E235,FAAS!$K$113:$L$134,2,FALSE)),"")</f>
        <v/>
      </c>
      <c r="O235" s="1002" t="str">
        <f t="shared" si="12"/>
        <v/>
      </c>
      <c r="P235" s="1002" t="str">
        <f>IFERROR(IF(VLOOKUP(B235,'Dados gerais'!$D$33:$F$35,3,FALSE)="",VLOOKUP('Outras emissões de processo'!B235,'Fatores de Emissão'!$B$12:$E$14,3, FALSE),VLOOKUP(B235,'Dados gerais'!$D$33:$F$35,3,FALSE)),"")</f>
        <v/>
      </c>
      <c r="Q235" s="1002" t="str">
        <f t="shared" si="13"/>
        <v/>
      </c>
      <c r="R235" s="575" t="str">
        <f>IFERROR(IF(G235=FAAS!$K$135,'Outras emissões de processo'!I235,VLOOKUP(G235,FAAS!$B$63:$J$82,9,FALSE)),"")</f>
        <v/>
      </c>
      <c r="S235" s="575" t="str">
        <f t="shared" si="8"/>
        <v/>
      </c>
      <c r="T235" s="575" t="str">
        <f t="shared" si="9"/>
        <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15.6" outlineLevel="2" x14ac:dyDescent="0.3">
      <c r="B236" s="269"/>
      <c r="C236" s="962"/>
      <c r="D236" s="250"/>
      <c r="E236" s="249"/>
      <c r="F236" s="928"/>
      <c r="G236" s="269"/>
      <c r="H236" s="270"/>
      <c r="I236" s="270"/>
      <c r="J236" s="271"/>
      <c r="K236" s="623"/>
      <c r="L236" s="249"/>
      <c r="M236" s="563"/>
      <c r="N236" s="1002" t="str">
        <f>IFERROR(IF(E236=FAAS!$B$81,I236,VLOOKUP(E236,FAAS!$K$113:$L$134,2,FALSE)),"")</f>
        <v/>
      </c>
      <c r="O236" s="1002" t="str">
        <f t="shared" si="12"/>
        <v/>
      </c>
      <c r="P236" s="1002" t="str">
        <f>IFERROR(IF(VLOOKUP(B236,'Dados gerais'!$D$33:$F$35,3,FALSE)="",VLOOKUP('Outras emissões de processo'!B236,'Fatores de Emissão'!$B$12:$E$14,3, FALSE),VLOOKUP(B236,'Dados gerais'!$D$33:$F$35,3,FALSE)),"")</f>
        <v/>
      </c>
      <c r="Q236" s="1002" t="str">
        <f t="shared" si="13"/>
        <v/>
      </c>
      <c r="R236" s="575" t="str">
        <f>IFERROR(IF(G236=FAAS!$K$135,'Outras emissões de processo'!I236,VLOOKUP(G236,FAAS!$B$63:$J$82,9,FALSE)),"")</f>
        <v/>
      </c>
      <c r="S236" s="575" t="str">
        <f t="shared" si="8"/>
        <v/>
      </c>
      <c r="T236" s="575" t="str">
        <f t="shared" si="9"/>
        <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15.6" outlineLevel="2" x14ac:dyDescent="0.3">
      <c r="B237" s="269"/>
      <c r="C237" s="962"/>
      <c r="D237" s="250"/>
      <c r="E237" s="249"/>
      <c r="F237" s="928"/>
      <c r="G237" s="269"/>
      <c r="H237" s="270"/>
      <c r="I237" s="270"/>
      <c r="J237" s="271"/>
      <c r="K237" s="623"/>
      <c r="L237" s="249"/>
      <c r="M237" s="563"/>
      <c r="N237" s="1002" t="str">
        <f>IFERROR(IF(E237=FAAS!$B$81,I237,VLOOKUP(E237,FAAS!$K$113:$L$134,2,FALSE)),"")</f>
        <v/>
      </c>
      <c r="O237" s="1002" t="str">
        <f t="shared" si="12"/>
        <v/>
      </c>
      <c r="P237" s="1002" t="str">
        <f>IFERROR(IF(VLOOKUP(B237,'Dados gerais'!$D$33:$F$35,3,FALSE)="",VLOOKUP('Outras emissões de processo'!B237,'Fatores de Emissão'!$B$12:$E$14,3, FALSE),VLOOKUP(B237,'Dados gerais'!$D$33:$F$35,3,FALSE)),"")</f>
        <v/>
      </c>
      <c r="Q237" s="1002" t="str">
        <f t="shared" si="13"/>
        <v/>
      </c>
      <c r="R237" s="575" t="str">
        <f>IFERROR(IF(G237=FAAS!$K$135,'Outras emissões de processo'!I237,VLOOKUP(G237,FAAS!$B$63:$J$82,9,FALSE)),"")</f>
        <v/>
      </c>
      <c r="S237" s="575" t="str">
        <f t="shared" si="8"/>
        <v/>
      </c>
      <c r="T237" s="575" t="str">
        <f t="shared" si="9"/>
        <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15.6" outlineLevel="2" x14ac:dyDescent="0.3">
      <c r="B238" s="269"/>
      <c r="C238" s="962"/>
      <c r="D238" s="250"/>
      <c r="E238" s="249"/>
      <c r="F238" s="928"/>
      <c r="G238" s="269"/>
      <c r="H238" s="270"/>
      <c r="I238" s="270"/>
      <c r="J238" s="271"/>
      <c r="K238" s="623"/>
      <c r="L238" s="249"/>
      <c r="M238" s="563"/>
      <c r="N238" s="1002" t="str">
        <f>IFERROR(IF(E238=FAAS!$B$81,I238,VLOOKUP(E238,FAAS!$K$113:$L$134,2,FALSE)),"")</f>
        <v/>
      </c>
      <c r="O238" s="1002" t="str">
        <f t="shared" si="12"/>
        <v/>
      </c>
      <c r="P238" s="1002" t="str">
        <f>IFERROR(IF(VLOOKUP(B238,'Dados gerais'!$D$33:$F$35,3,FALSE)="",VLOOKUP('Outras emissões de processo'!B238,'Fatores de Emissão'!$B$12:$E$14,3, FALSE),VLOOKUP(B238,'Dados gerais'!$D$33:$F$35,3,FALSE)),"")</f>
        <v/>
      </c>
      <c r="Q238" s="1002" t="str">
        <f t="shared" si="13"/>
        <v/>
      </c>
      <c r="R238" s="575" t="str">
        <f>IFERROR(IF(G238=FAAS!$K$135,'Outras emissões de processo'!I238,VLOOKUP(G238,FAAS!$B$63:$J$82,9,FALSE)),"")</f>
        <v/>
      </c>
      <c r="S238" s="575" t="str">
        <f t="shared" si="8"/>
        <v/>
      </c>
      <c r="T238" s="575" t="str">
        <f t="shared" si="9"/>
        <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15.6" outlineLevel="2" x14ac:dyDescent="0.3">
      <c r="B239" s="269"/>
      <c r="C239" s="962"/>
      <c r="D239" s="250"/>
      <c r="E239" s="249"/>
      <c r="F239" s="928"/>
      <c r="G239" s="269"/>
      <c r="H239" s="270"/>
      <c r="I239" s="270"/>
      <c r="J239" s="271"/>
      <c r="K239" s="623"/>
      <c r="L239" s="249"/>
      <c r="M239" s="563"/>
      <c r="N239" s="1002" t="str">
        <f>IFERROR(IF(E239=FAAS!$B$81,I239,VLOOKUP(E239,FAAS!$K$113:$L$134,2,FALSE)),"")</f>
        <v/>
      </c>
      <c r="O239" s="1002" t="str">
        <f t="shared" si="12"/>
        <v/>
      </c>
      <c r="P239" s="1002" t="str">
        <f>IFERROR(IF(VLOOKUP(B239,'Dados gerais'!$D$33:$F$35,3,FALSE)="",VLOOKUP('Outras emissões de processo'!B239,'Fatores de Emissão'!$B$12:$E$14,3, FALSE),VLOOKUP(B239,'Dados gerais'!$D$33:$F$35,3,FALSE)),"")</f>
        <v/>
      </c>
      <c r="Q239" s="1002" t="str">
        <f t="shared" si="13"/>
        <v/>
      </c>
      <c r="R239" s="575" t="str">
        <f>IFERROR(IF(G239=FAAS!$K$135,'Outras emissões de processo'!I239,VLOOKUP(G239,FAAS!$B$63:$J$82,9,FALSE)),"")</f>
        <v/>
      </c>
      <c r="S239" s="575" t="str">
        <f t="shared" si="8"/>
        <v/>
      </c>
      <c r="T239" s="575" t="str">
        <f t="shared" si="9"/>
        <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15.6" outlineLevel="2" x14ac:dyDescent="0.3">
      <c r="B240" s="269"/>
      <c r="C240" s="962"/>
      <c r="D240" s="250"/>
      <c r="E240" s="249"/>
      <c r="F240" s="928"/>
      <c r="G240" s="269"/>
      <c r="H240" s="270"/>
      <c r="I240" s="270"/>
      <c r="J240" s="271"/>
      <c r="K240" s="623"/>
      <c r="L240" s="249"/>
      <c r="M240" s="563"/>
      <c r="N240" s="1002" t="str">
        <f>IFERROR(IF(E240=FAAS!$B$81,I240,VLOOKUP(E240,FAAS!$K$113:$L$134,2,FALSE)),"")</f>
        <v/>
      </c>
      <c r="O240" s="1002" t="str">
        <f t="shared" si="12"/>
        <v/>
      </c>
      <c r="P240" s="1002" t="str">
        <f>IFERROR(IF(VLOOKUP(B240,'Dados gerais'!$D$33:$F$35,3,FALSE)="",VLOOKUP('Outras emissões de processo'!B240,'Fatores de Emissão'!$B$12:$E$14,3, FALSE),VLOOKUP(B240,'Dados gerais'!$D$33:$F$35,3,FALSE)),"")</f>
        <v/>
      </c>
      <c r="Q240" s="1002" t="str">
        <f t="shared" si="13"/>
        <v/>
      </c>
      <c r="R240" s="575" t="str">
        <f>IFERROR(IF(G240=FAAS!$K$135,'Outras emissões de processo'!I240,VLOOKUP(G240,FAAS!$B$63:$J$82,9,FALSE)),"")</f>
        <v/>
      </c>
      <c r="S240" s="575" t="str">
        <f t="shared" si="8"/>
        <v/>
      </c>
      <c r="T240" s="575" t="str">
        <f t="shared" si="9"/>
        <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15.6" outlineLevel="2" x14ac:dyDescent="0.3">
      <c r="B241" s="269"/>
      <c r="C241" s="962"/>
      <c r="D241" s="250"/>
      <c r="E241" s="249"/>
      <c r="F241" s="928"/>
      <c r="G241" s="269"/>
      <c r="H241" s="270"/>
      <c r="I241" s="270"/>
      <c r="J241" s="271"/>
      <c r="K241" s="623"/>
      <c r="L241" s="249"/>
      <c r="M241" s="563"/>
      <c r="N241" s="1002" t="str">
        <f>IFERROR(IF(E241=FAAS!$B$81,I241,VLOOKUP(E241,FAAS!$K$113:$L$134,2,FALSE)),"")</f>
        <v/>
      </c>
      <c r="O241" s="1002" t="str">
        <f t="shared" si="12"/>
        <v/>
      </c>
      <c r="P241" s="1002" t="str">
        <f>IFERROR(IF(VLOOKUP(B241,'Dados gerais'!$D$33:$F$35,3,FALSE)="",VLOOKUP('Outras emissões de processo'!B241,'Fatores de Emissão'!$B$12:$E$14,3, FALSE),VLOOKUP(B241,'Dados gerais'!$D$33:$F$35,3,FALSE)),"")</f>
        <v/>
      </c>
      <c r="Q241" s="1002" t="str">
        <f t="shared" si="13"/>
        <v/>
      </c>
      <c r="R241" s="575" t="str">
        <f>IFERROR(IF(G241=FAAS!$K$135,'Outras emissões de processo'!I241,VLOOKUP(G241,FAAS!$B$63:$J$82,9,FALSE)),"")</f>
        <v/>
      </c>
      <c r="S241" s="575" t="str">
        <f t="shared" si="8"/>
        <v/>
      </c>
      <c r="T241" s="575" t="str">
        <f t="shared" si="9"/>
        <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15.6" outlineLevel="2" x14ac:dyDescent="0.3">
      <c r="B242" s="269"/>
      <c r="C242" s="962"/>
      <c r="D242" s="250"/>
      <c r="E242" s="249"/>
      <c r="F242" s="928"/>
      <c r="G242" s="269"/>
      <c r="H242" s="270"/>
      <c r="I242" s="270"/>
      <c r="J242" s="271"/>
      <c r="K242" s="623"/>
      <c r="L242" s="249"/>
      <c r="M242" s="563"/>
      <c r="N242" s="1002" t="str">
        <f>IFERROR(IF(E242=FAAS!$B$81,I242,VLOOKUP(E242,FAAS!$K$113:$L$134,2,FALSE)),"")</f>
        <v/>
      </c>
      <c r="O242" s="1002" t="str">
        <f t="shared" si="12"/>
        <v/>
      </c>
      <c r="P242" s="1002" t="str">
        <f>IFERROR(IF(VLOOKUP(B242,'Dados gerais'!$D$33:$F$35,3,FALSE)="",VLOOKUP('Outras emissões de processo'!B242,'Fatores de Emissão'!$B$12:$E$14,3, FALSE),VLOOKUP(B242,'Dados gerais'!$D$33:$F$35,3,FALSE)),"")</f>
        <v/>
      </c>
      <c r="Q242" s="1002" t="str">
        <f t="shared" si="13"/>
        <v/>
      </c>
      <c r="R242" s="575" t="str">
        <f>IFERROR(IF(G242=FAAS!$K$135,'Outras emissões de processo'!I242,VLOOKUP(G242,FAAS!$B$63:$J$82,9,FALSE)),"")</f>
        <v/>
      </c>
      <c r="S242" s="575" t="str">
        <f t="shared" si="8"/>
        <v/>
      </c>
      <c r="T242" s="575" t="str">
        <f t="shared" si="9"/>
        <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15.6" outlineLevel="2" x14ac:dyDescent="0.3">
      <c r="B243" s="269"/>
      <c r="C243" s="962"/>
      <c r="D243" s="250"/>
      <c r="E243" s="249"/>
      <c r="F243" s="928"/>
      <c r="G243" s="269"/>
      <c r="H243" s="270"/>
      <c r="I243" s="270"/>
      <c r="J243" s="271"/>
      <c r="K243" s="623"/>
      <c r="L243" s="249"/>
      <c r="M243" s="563"/>
      <c r="N243" s="1002" t="str">
        <f>IFERROR(IF(E243=FAAS!$B$81,I243,VLOOKUP(E243,FAAS!$K$113:$L$134,2,FALSE)),"")</f>
        <v/>
      </c>
      <c r="O243" s="1002" t="str">
        <f t="shared" si="12"/>
        <v/>
      </c>
      <c r="P243" s="1002" t="str">
        <f>IFERROR(IF(VLOOKUP(B243,'Dados gerais'!$D$33:$F$35,3,FALSE)="",VLOOKUP('Outras emissões de processo'!B243,'Fatores de Emissão'!$B$12:$E$14,3, FALSE),VLOOKUP(B243,'Dados gerais'!$D$33:$F$35,3,FALSE)),"")</f>
        <v/>
      </c>
      <c r="Q243" s="1002" t="str">
        <f t="shared" si="13"/>
        <v/>
      </c>
      <c r="R243" s="575" t="str">
        <f>IFERROR(IF(G243=FAAS!$K$135,'Outras emissões de processo'!I243,VLOOKUP(G243,FAAS!$B$63:$J$82,9,FALSE)),"")</f>
        <v/>
      </c>
      <c r="S243" s="575" t="str">
        <f t="shared" si="8"/>
        <v/>
      </c>
      <c r="T243" s="575" t="str">
        <f t="shared" si="9"/>
        <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15.6" outlineLevel="2" x14ac:dyDescent="0.3">
      <c r="B244" s="269"/>
      <c r="C244" s="962"/>
      <c r="D244" s="250"/>
      <c r="E244" s="249"/>
      <c r="F244" s="928"/>
      <c r="G244" s="269"/>
      <c r="H244" s="270"/>
      <c r="I244" s="270"/>
      <c r="J244" s="271"/>
      <c r="K244" s="623"/>
      <c r="L244" s="249"/>
      <c r="M244" s="563"/>
      <c r="N244" s="1002" t="str">
        <f>IFERROR(IF(E244=FAAS!$B$81,I244,VLOOKUP(E244,FAAS!$K$113:$L$134,2,FALSE)),"")</f>
        <v/>
      </c>
      <c r="O244" s="1002" t="str">
        <f t="shared" si="12"/>
        <v/>
      </c>
      <c r="P244" s="1002" t="str">
        <f>IFERROR(IF(VLOOKUP(B244,'Dados gerais'!$D$33:$F$35,3,FALSE)="",VLOOKUP('Outras emissões de processo'!B244,'Fatores de Emissão'!$B$12:$E$14,3, FALSE),VLOOKUP(B244,'Dados gerais'!$D$33:$F$35,3,FALSE)),"")</f>
        <v/>
      </c>
      <c r="Q244" s="1002" t="str">
        <f t="shared" si="13"/>
        <v/>
      </c>
      <c r="R244" s="575" t="str">
        <f>IFERROR(IF(G244=FAAS!$K$135,'Outras emissões de processo'!I244,VLOOKUP(G244,FAAS!$B$63:$J$82,9,FALSE)),"")</f>
        <v/>
      </c>
      <c r="S244" s="575" t="str">
        <f t="shared" si="8"/>
        <v/>
      </c>
      <c r="T244" s="575" t="str">
        <f t="shared" si="9"/>
        <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15.6" outlineLevel="2" x14ac:dyDescent="0.3">
      <c r="B245" s="269"/>
      <c r="C245" s="962"/>
      <c r="D245" s="250"/>
      <c r="E245" s="249"/>
      <c r="F245" s="928"/>
      <c r="G245" s="269"/>
      <c r="H245" s="270"/>
      <c r="I245" s="270"/>
      <c r="J245" s="271"/>
      <c r="K245" s="623"/>
      <c r="L245" s="249"/>
      <c r="M245" s="563"/>
      <c r="N245" s="1002" t="str">
        <f>IFERROR(IF(E245=FAAS!$B$81,I245,VLOOKUP(E245,FAAS!$K$113:$L$134,2,FALSE)),"")</f>
        <v/>
      </c>
      <c r="O245" s="1002" t="str">
        <f t="shared" si="12"/>
        <v/>
      </c>
      <c r="P245" s="1002" t="str">
        <f>IFERROR(IF(VLOOKUP(B245,'Dados gerais'!$D$33:$F$35,3,FALSE)="",VLOOKUP('Outras emissões de processo'!B245,'Fatores de Emissão'!$B$12:$E$14,3, FALSE),VLOOKUP(B245,'Dados gerais'!$D$33:$F$35,3,FALSE)),"")</f>
        <v/>
      </c>
      <c r="Q245" s="1002" t="str">
        <f t="shared" si="13"/>
        <v/>
      </c>
      <c r="R245" s="575" t="str">
        <f>IFERROR(IF(G245=FAAS!$K$135,'Outras emissões de processo'!I245,VLOOKUP(G245,FAAS!$B$63:$J$82,9,FALSE)),"")</f>
        <v/>
      </c>
      <c r="S245" s="575" t="str">
        <f t="shared" si="8"/>
        <v/>
      </c>
      <c r="T245" s="575" t="str">
        <f t="shared" si="9"/>
        <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15.6" outlineLevel="2" x14ac:dyDescent="0.3">
      <c r="B246" s="269"/>
      <c r="C246" s="962"/>
      <c r="D246" s="250"/>
      <c r="E246" s="249"/>
      <c r="F246" s="928"/>
      <c r="G246" s="269"/>
      <c r="H246" s="270"/>
      <c r="I246" s="270"/>
      <c r="J246" s="271"/>
      <c r="K246" s="623"/>
      <c r="L246" s="249"/>
      <c r="M246" s="563"/>
      <c r="N246" s="1002" t="str">
        <f>IFERROR(IF(E246=FAAS!$B$81,I246,VLOOKUP(E246,FAAS!$K$113:$L$134,2,FALSE)),"")</f>
        <v/>
      </c>
      <c r="O246" s="1002" t="str">
        <f t="shared" si="12"/>
        <v/>
      </c>
      <c r="P246" s="1002" t="str">
        <f>IFERROR(IF(VLOOKUP(B246,'Dados gerais'!$D$33:$F$35,3,FALSE)="",VLOOKUP('Outras emissões de processo'!B246,'Fatores de Emissão'!$B$12:$E$14,3, FALSE),VLOOKUP(B246,'Dados gerais'!$D$33:$F$35,3,FALSE)),"")</f>
        <v/>
      </c>
      <c r="Q246" s="1002" t="str">
        <f t="shared" si="13"/>
        <v/>
      </c>
      <c r="R246" s="575" t="str">
        <f>IFERROR(IF(G246=FAAS!$K$135,'Outras emissões de processo'!I246,VLOOKUP(G246,FAAS!$B$63:$J$82,9,FALSE)),"")</f>
        <v/>
      </c>
      <c r="S246" s="575" t="str">
        <f t="shared" si="8"/>
        <v/>
      </c>
      <c r="T246" s="575" t="str">
        <f t="shared" si="9"/>
        <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15.6" outlineLevel="2" x14ac:dyDescent="0.3">
      <c r="B247" s="269"/>
      <c r="C247" s="962"/>
      <c r="D247" s="250"/>
      <c r="E247" s="249"/>
      <c r="F247" s="928"/>
      <c r="G247" s="269"/>
      <c r="H247" s="270"/>
      <c r="I247" s="270"/>
      <c r="J247" s="271"/>
      <c r="K247" s="623"/>
      <c r="L247" s="249"/>
      <c r="M247" s="563"/>
      <c r="N247" s="1002" t="str">
        <f>IFERROR(IF(E247=FAAS!$B$81,I247,VLOOKUP(E247,FAAS!$K$113:$L$134,2,FALSE)),"")</f>
        <v/>
      </c>
      <c r="O247" s="1002" t="str">
        <f t="shared" si="12"/>
        <v/>
      </c>
      <c r="P247" s="1002" t="str">
        <f>IFERROR(IF(VLOOKUP(B247,'Dados gerais'!$D$33:$F$35,3,FALSE)="",VLOOKUP('Outras emissões de processo'!B247,'Fatores de Emissão'!$B$12:$E$14,3, FALSE),VLOOKUP(B247,'Dados gerais'!$D$33:$F$35,3,FALSE)),"")</f>
        <v/>
      </c>
      <c r="Q247" s="1002" t="str">
        <f t="shared" si="13"/>
        <v/>
      </c>
      <c r="R247" s="575" t="str">
        <f>IFERROR(IF(G247=FAAS!$K$135,'Outras emissões de processo'!I247,VLOOKUP(G247,FAAS!$B$63:$J$82,9,FALSE)),"")</f>
        <v/>
      </c>
      <c r="S247" s="575" t="str">
        <f t="shared" si="8"/>
        <v/>
      </c>
      <c r="T247" s="575" t="str">
        <f t="shared" si="9"/>
        <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15.6" outlineLevel="2" x14ac:dyDescent="0.3">
      <c r="B248" s="269"/>
      <c r="C248" s="962"/>
      <c r="D248" s="250"/>
      <c r="E248" s="249"/>
      <c r="F248" s="928"/>
      <c r="G248" s="269"/>
      <c r="H248" s="270"/>
      <c r="I248" s="270"/>
      <c r="J248" s="271"/>
      <c r="K248" s="623"/>
      <c r="L248" s="249"/>
      <c r="M248" s="563"/>
      <c r="N248" s="1002" t="str">
        <f>IFERROR(IF(E248=FAAS!$B$81,I248,VLOOKUP(E248,FAAS!$K$113:$L$134,2,FALSE)),"")</f>
        <v/>
      </c>
      <c r="O248" s="1002" t="str">
        <f t="shared" si="12"/>
        <v/>
      </c>
      <c r="P248" s="1002" t="str">
        <f>IFERROR(IF(VLOOKUP(B248,'Dados gerais'!$D$33:$F$35,3,FALSE)="",VLOOKUP('Outras emissões de processo'!B248,'Fatores de Emissão'!$B$12:$E$14,3, FALSE),VLOOKUP(B248,'Dados gerais'!$D$33:$F$35,3,FALSE)),"")</f>
        <v/>
      </c>
      <c r="Q248" s="1002" t="str">
        <f t="shared" si="13"/>
        <v/>
      </c>
      <c r="R248" s="575" t="str">
        <f>IFERROR(IF(G248=FAAS!$K$135,'Outras emissões de processo'!I248,VLOOKUP(G248,FAAS!$B$63:$J$82,9,FALSE)),"")</f>
        <v/>
      </c>
      <c r="S248" s="575" t="str">
        <f t="shared" si="8"/>
        <v/>
      </c>
      <c r="T248" s="575" t="str">
        <f t="shared" si="9"/>
        <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15.6" outlineLevel="2" x14ac:dyDescent="0.3">
      <c r="B249" s="269"/>
      <c r="C249" s="962"/>
      <c r="D249" s="250"/>
      <c r="E249" s="249"/>
      <c r="F249" s="928"/>
      <c r="G249" s="269"/>
      <c r="H249" s="270"/>
      <c r="I249" s="270"/>
      <c r="J249" s="271"/>
      <c r="K249" s="623"/>
      <c r="L249" s="249"/>
      <c r="M249" s="563"/>
      <c r="N249" s="1002" t="str">
        <f>IFERROR(IF(E249=FAAS!$B$81,I249,VLOOKUP(E249,FAAS!$K$113:$L$134,2,FALSE)),"")</f>
        <v/>
      </c>
      <c r="O249" s="1002" t="str">
        <f t="shared" si="12"/>
        <v/>
      </c>
      <c r="P249" s="1002" t="str">
        <f>IFERROR(IF(VLOOKUP(B249,'Dados gerais'!$D$33:$F$35,3,FALSE)="",VLOOKUP('Outras emissões de processo'!B249,'Fatores de Emissão'!$B$12:$E$14,3, FALSE),VLOOKUP(B249,'Dados gerais'!$D$33:$F$35,3,FALSE)),"")</f>
        <v/>
      </c>
      <c r="Q249" s="1002" t="str">
        <f t="shared" si="13"/>
        <v/>
      </c>
      <c r="R249" s="575" t="str">
        <f>IFERROR(IF(G249=FAAS!$K$135,'Outras emissões de processo'!I249,VLOOKUP(G249,FAAS!$B$63:$J$82,9,FALSE)),"")</f>
        <v/>
      </c>
      <c r="S249" s="575" t="str">
        <f t="shared" si="8"/>
        <v/>
      </c>
      <c r="T249" s="575" t="str">
        <f t="shared" si="9"/>
        <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15.6" outlineLevel="2" x14ac:dyDescent="0.3">
      <c r="B250" s="269"/>
      <c r="C250" s="962"/>
      <c r="D250" s="250"/>
      <c r="E250" s="249"/>
      <c r="F250" s="928"/>
      <c r="G250" s="269"/>
      <c r="H250" s="270"/>
      <c r="I250" s="270"/>
      <c r="J250" s="271"/>
      <c r="K250" s="623"/>
      <c r="L250" s="249"/>
      <c r="M250" s="563"/>
      <c r="N250" s="1002" t="str">
        <f>IFERROR(IF(E250=FAAS!$B$81,I250,VLOOKUP(E250,FAAS!$K$113:$L$134,2,FALSE)),"")</f>
        <v/>
      </c>
      <c r="O250" s="1002" t="str">
        <f t="shared" si="12"/>
        <v/>
      </c>
      <c r="P250" s="1002" t="str">
        <f>IFERROR(IF(VLOOKUP(B250,'Dados gerais'!$D$33:$F$35,3,FALSE)="",VLOOKUP('Outras emissões de processo'!B250,'Fatores de Emissão'!$B$12:$E$14,3, FALSE),VLOOKUP(B250,'Dados gerais'!$D$33:$F$35,3,FALSE)),"")</f>
        <v/>
      </c>
      <c r="Q250" s="1002" t="str">
        <f t="shared" si="13"/>
        <v/>
      </c>
      <c r="R250" s="575" t="str">
        <f>IFERROR(IF(G250=FAAS!$K$135,'Outras emissões de processo'!I250,VLOOKUP(G250,FAAS!$B$63:$J$82,9,FALSE)),"")</f>
        <v/>
      </c>
      <c r="S250" s="575" t="str">
        <f t="shared" si="8"/>
        <v/>
      </c>
      <c r="T250" s="575" t="str">
        <f t="shared" si="9"/>
        <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15.6" outlineLevel="2" x14ac:dyDescent="0.3">
      <c r="B251" s="269"/>
      <c r="C251" s="962"/>
      <c r="D251" s="250"/>
      <c r="E251" s="249"/>
      <c r="F251" s="928"/>
      <c r="G251" s="269"/>
      <c r="H251" s="270"/>
      <c r="I251" s="270"/>
      <c r="J251" s="271"/>
      <c r="K251" s="623"/>
      <c r="L251" s="249"/>
      <c r="M251" s="563"/>
      <c r="N251" s="1002" t="str">
        <f>IFERROR(IF(E251=FAAS!$B$81,I251,VLOOKUP(E251,FAAS!$K$113:$L$134,2,FALSE)),"")</f>
        <v/>
      </c>
      <c r="O251" s="1002" t="str">
        <f t="shared" si="12"/>
        <v/>
      </c>
      <c r="P251" s="1002" t="str">
        <f>IFERROR(IF(VLOOKUP(B251,'Dados gerais'!$D$33:$F$35,3,FALSE)="",VLOOKUP('Outras emissões de processo'!B251,'Fatores de Emissão'!$B$12:$E$14,3, FALSE),VLOOKUP(B251,'Dados gerais'!$D$33:$F$35,3,FALSE)),"")</f>
        <v/>
      </c>
      <c r="Q251" s="1002" t="str">
        <f t="shared" si="13"/>
        <v/>
      </c>
      <c r="R251" s="575" t="str">
        <f>IFERROR(IF(G251=FAAS!$K$135,'Outras emissões de processo'!I251,VLOOKUP(G251,FAAS!$B$63:$J$82,9,FALSE)),"")</f>
        <v/>
      </c>
      <c r="S251" s="575" t="str">
        <f t="shared" si="8"/>
        <v/>
      </c>
      <c r="T251" s="575" t="str">
        <f t="shared" si="9"/>
        <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15.6" outlineLevel="2" x14ac:dyDescent="0.3">
      <c r="B252" s="269"/>
      <c r="C252" s="962"/>
      <c r="D252" s="250"/>
      <c r="E252" s="249"/>
      <c r="F252" s="928"/>
      <c r="G252" s="269"/>
      <c r="H252" s="270"/>
      <c r="I252" s="270"/>
      <c r="J252" s="271"/>
      <c r="K252" s="623"/>
      <c r="L252" s="249"/>
      <c r="M252" s="563"/>
      <c r="N252" s="1002" t="str">
        <f>IFERROR(IF(E252=FAAS!$B$81,I252,VLOOKUP(E252,FAAS!$K$113:$L$134,2,FALSE)),"")</f>
        <v/>
      </c>
      <c r="O252" s="1002" t="str">
        <f t="shared" si="12"/>
        <v/>
      </c>
      <c r="P252" s="1002" t="str">
        <f>IFERROR(IF(VLOOKUP(B252,'Dados gerais'!$D$33:$F$35,3,FALSE)="",VLOOKUP('Outras emissões de processo'!B252,'Fatores de Emissão'!$B$12:$E$14,3, FALSE),VLOOKUP(B252,'Dados gerais'!$D$33:$F$35,3,FALSE)),"")</f>
        <v/>
      </c>
      <c r="Q252" s="1002" t="str">
        <f t="shared" si="13"/>
        <v/>
      </c>
      <c r="R252" s="575" t="str">
        <f>IFERROR(IF(G252=FAAS!$K$135,'Outras emissões de processo'!I252,VLOOKUP(G252,FAAS!$B$63:$J$82,9,FALSE)),"")</f>
        <v/>
      </c>
      <c r="S252" s="575" t="str">
        <f t="shared" si="8"/>
        <v/>
      </c>
      <c r="T252" s="575" t="str">
        <f t="shared" si="9"/>
        <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15.6" outlineLevel="2" x14ac:dyDescent="0.3">
      <c r="B253" s="269"/>
      <c r="C253" s="962"/>
      <c r="D253" s="250"/>
      <c r="E253" s="249"/>
      <c r="F253" s="928"/>
      <c r="G253" s="269"/>
      <c r="H253" s="270"/>
      <c r="I253" s="270"/>
      <c r="J253" s="271"/>
      <c r="K253" s="623"/>
      <c r="L253" s="249"/>
      <c r="M253" s="563"/>
      <c r="N253" s="1002" t="str">
        <f>IFERROR(IF(E253=FAAS!$B$81,I253,VLOOKUP(E253,FAAS!$K$113:$L$134,2,FALSE)),"")</f>
        <v/>
      </c>
      <c r="O253" s="1002" t="str">
        <f t="shared" si="12"/>
        <v/>
      </c>
      <c r="P253" s="1002" t="str">
        <f>IFERROR(IF(VLOOKUP(B253,'Dados gerais'!$D$33:$F$35,3,FALSE)="",VLOOKUP('Outras emissões de processo'!B253,'Fatores de Emissão'!$B$12:$E$14,3, FALSE),VLOOKUP(B253,'Dados gerais'!$D$33:$F$35,3,FALSE)),"")</f>
        <v/>
      </c>
      <c r="Q253" s="1002" t="str">
        <f t="shared" si="13"/>
        <v/>
      </c>
      <c r="R253" s="575" t="str">
        <f>IFERROR(IF(G253=FAAS!$K$135,'Outras emissões de processo'!I253,VLOOKUP(G253,FAAS!$B$63:$J$82,9,FALSE)),"")</f>
        <v/>
      </c>
      <c r="S253" s="575" t="str">
        <f t="shared" si="8"/>
        <v/>
      </c>
      <c r="T253" s="575" t="str">
        <f t="shared" si="9"/>
        <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15.6" outlineLevel="2" x14ac:dyDescent="0.3">
      <c r="B254" s="269"/>
      <c r="C254" s="962"/>
      <c r="D254" s="250"/>
      <c r="E254" s="249"/>
      <c r="F254" s="928"/>
      <c r="G254" s="269"/>
      <c r="H254" s="270"/>
      <c r="I254" s="270"/>
      <c r="J254" s="271"/>
      <c r="K254" s="623"/>
      <c r="L254" s="249"/>
      <c r="M254" s="563"/>
      <c r="N254" s="1002" t="str">
        <f>IFERROR(IF(E254=FAAS!$B$81,I254,VLOOKUP(E254,FAAS!$K$113:$L$134,2,FALSE)),"")</f>
        <v/>
      </c>
      <c r="O254" s="1002" t="str">
        <f t="shared" si="12"/>
        <v/>
      </c>
      <c r="P254" s="1002" t="str">
        <f>IFERROR(IF(VLOOKUP(B254,'Dados gerais'!$D$33:$F$35,3,FALSE)="",VLOOKUP('Outras emissões de processo'!B254,'Fatores de Emissão'!$B$12:$E$14,3, FALSE),VLOOKUP(B254,'Dados gerais'!$D$33:$F$35,3,FALSE)),"")</f>
        <v/>
      </c>
      <c r="Q254" s="1002" t="str">
        <f t="shared" si="13"/>
        <v/>
      </c>
      <c r="R254" s="575" t="str">
        <f>IFERROR(IF(G254=FAAS!$K$135,'Outras emissões de processo'!I254,VLOOKUP(G254,FAAS!$B$63:$J$82,9,FALSE)),"")</f>
        <v/>
      </c>
      <c r="S254" s="575" t="str">
        <f t="shared" si="8"/>
        <v/>
      </c>
      <c r="T254" s="575" t="str">
        <f t="shared" si="9"/>
        <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15.6" outlineLevel="2" x14ac:dyDescent="0.3">
      <c r="B255" s="269"/>
      <c r="C255" s="962"/>
      <c r="D255" s="250"/>
      <c r="E255" s="249"/>
      <c r="F255" s="928"/>
      <c r="G255" s="269"/>
      <c r="H255" s="270"/>
      <c r="I255" s="270"/>
      <c r="J255" s="271"/>
      <c r="K255" s="623"/>
      <c r="L255" s="249"/>
      <c r="M255" s="563"/>
      <c r="N255" s="1002" t="str">
        <f>IFERROR(IF(E255=FAAS!$B$81,I255,VLOOKUP(E255,FAAS!$K$113:$L$134,2,FALSE)),"")</f>
        <v/>
      </c>
      <c r="O255" s="1002" t="str">
        <f t="shared" si="12"/>
        <v/>
      </c>
      <c r="P255" s="1002" t="str">
        <f>IFERROR(IF(VLOOKUP(B255,'Dados gerais'!$D$33:$F$35,3,FALSE)="",VLOOKUP('Outras emissões de processo'!B255,'Fatores de Emissão'!$B$12:$E$14,3, FALSE),VLOOKUP(B255,'Dados gerais'!$D$33:$F$35,3,FALSE)),"")</f>
        <v/>
      </c>
      <c r="Q255" s="1002" t="str">
        <f t="shared" si="13"/>
        <v/>
      </c>
      <c r="R255" s="575" t="str">
        <f>IFERROR(IF(G255=FAAS!$K$135,'Outras emissões de processo'!I255,VLOOKUP(G255,FAAS!$B$63:$J$82,9,FALSE)),"")</f>
        <v/>
      </c>
      <c r="S255" s="575" t="str">
        <f t="shared" si="8"/>
        <v/>
      </c>
      <c r="T255" s="575" t="str">
        <f t="shared" si="9"/>
        <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15.6" outlineLevel="2" x14ac:dyDescent="0.3">
      <c r="B256" s="269"/>
      <c r="C256" s="962"/>
      <c r="D256" s="250"/>
      <c r="E256" s="249"/>
      <c r="F256" s="928"/>
      <c r="G256" s="269"/>
      <c r="H256" s="270"/>
      <c r="I256" s="270"/>
      <c r="J256" s="271"/>
      <c r="K256" s="623"/>
      <c r="L256" s="249"/>
      <c r="M256" s="563"/>
      <c r="N256" s="1002" t="str">
        <f>IFERROR(IF(E256=FAAS!$B$81,I256,VLOOKUP(E256,FAAS!$K$113:$L$134,2,FALSE)),"")</f>
        <v/>
      </c>
      <c r="O256" s="1002" t="str">
        <f t="shared" si="12"/>
        <v/>
      </c>
      <c r="P256" s="1002" t="str">
        <f>IFERROR(IF(VLOOKUP(B256,'Dados gerais'!$D$33:$F$35,3,FALSE)="",VLOOKUP('Outras emissões de processo'!B256,'Fatores de Emissão'!$B$12:$E$14,3, FALSE),VLOOKUP(B256,'Dados gerais'!$D$33:$F$35,3,FALSE)),"")</f>
        <v/>
      </c>
      <c r="Q256" s="1002" t="str">
        <f t="shared" si="13"/>
        <v/>
      </c>
      <c r="R256" s="575" t="str">
        <f>IFERROR(IF(G256=FAAS!$K$135,'Outras emissões de processo'!I256,VLOOKUP(G256,FAAS!$B$63:$J$82,9,FALSE)),"")</f>
        <v/>
      </c>
      <c r="S256" s="575" t="str">
        <f t="shared" si="8"/>
        <v/>
      </c>
      <c r="T256" s="575" t="str">
        <f t="shared" si="9"/>
        <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15.6" outlineLevel="2" x14ac:dyDescent="0.3">
      <c r="B257" s="269"/>
      <c r="C257" s="962"/>
      <c r="D257" s="250"/>
      <c r="E257" s="249"/>
      <c r="F257" s="928"/>
      <c r="G257" s="269"/>
      <c r="H257" s="270"/>
      <c r="I257" s="270"/>
      <c r="J257" s="271"/>
      <c r="K257" s="623"/>
      <c r="L257" s="249"/>
      <c r="M257" s="563"/>
      <c r="N257" s="1002" t="str">
        <f>IFERROR(IF(E257=FAAS!$B$81,I257,VLOOKUP(E257,FAAS!$K$113:$L$134,2,FALSE)),"")</f>
        <v/>
      </c>
      <c r="O257" s="1002" t="str">
        <f t="shared" si="12"/>
        <v/>
      </c>
      <c r="P257" s="1002" t="str">
        <f>IFERROR(IF(VLOOKUP(B257,'Dados gerais'!$D$33:$F$35,3,FALSE)="",VLOOKUP('Outras emissões de processo'!B257,'Fatores de Emissão'!$B$12:$E$14,3, FALSE),VLOOKUP(B257,'Dados gerais'!$D$33:$F$35,3,FALSE)),"")</f>
        <v/>
      </c>
      <c r="Q257" s="1002" t="str">
        <f t="shared" si="13"/>
        <v/>
      </c>
      <c r="R257" s="575" t="str">
        <f>IFERROR(IF(G257=FAAS!$K$135,'Outras emissões de processo'!I257,VLOOKUP(G257,FAAS!$B$63:$J$82,9,FALSE)),"")</f>
        <v/>
      </c>
      <c r="S257" s="575" t="str">
        <f t="shared" si="8"/>
        <v/>
      </c>
      <c r="T257" s="575" t="str">
        <f t="shared" si="9"/>
        <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15.6" outlineLevel="2" x14ac:dyDescent="0.3">
      <c r="B258" s="269"/>
      <c r="C258" s="962"/>
      <c r="D258" s="250"/>
      <c r="E258" s="249"/>
      <c r="F258" s="928"/>
      <c r="G258" s="269"/>
      <c r="H258" s="270"/>
      <c r="I258" s="270"/>
      <c r="J258" s="271"/>
      <c r="K258" s="623"/>
      <c r="L258" s="249"/>
      <c r="M258" s="563"/>
      <c r="N258" s="1002" t="str">
        <f>IFERROR(IF(E258=FAAS!$B$81,I258,VLOOKUP(E258,FAAS!$K$113:$L$134,2,FALSE)),"")</f>
        <v/>
      </c>
      <c r="O258" s="1002" t="str">
        <f t="shared" si="12"/>
        <v/>
      </c>
      <c r="P258" s="1002" t="str">
        <f>IFERROR(IF(VLOOKUP(B258,'Dados gerais'!$D$33:$F$35,3,FALSE)="",VLOOKUP('Outras emissões de processo'!B258,'Fatores de Emissão'!$B$12:$E$14,3, FALSE),VLOOKUP(B258,'Dados gerais'!$D$33:$F$35,3,FALSE)),"")</f>
        <v/>
      </c>
      <c r="Q258" s="1002" t="str">
        <f t="shared" si="13"/>
        <v/>
      </c>
      <c r="R258" s="575" t="str">
        <f>IFERROR(IF(G258=FAAS!$K$135,'Outras emissões de processo'!I258,VLOOKUP(G258,FAAS!$B$63:$J$82,9,FALSE)),"")</f>
        <v/>
      </c>
      <c r="S258" s="575" t="str">
        <f t="shared" si="8"/>
        <v/>
      </c>
      <c r="T258" s="575" t="str">
        <f t="shared" si="9"/>
        <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15.6" outlineLevel="2" x14ac:dyDescent="0.3">
      <c r="B259" s="269"/>
      <c r="C259" s="962"/>
      <c r="D259" s="250"/>
      <c r="E259" s="249"/>
      <c r="F259" s="928"/>
      <c r="G259" s="269"/>
      <c r="H259" s="270"/>
      <c r="I259" s="270"/>
      <c r="J259" s="271"/>
      <c r="K259" s="623"/>
      <c r="L259" s="249"/>
      <c r="M259" s="563"/>
      <c r="N259" s="1002" t="str">
        <f>IFERROR(IF(E259=FAAS!$B$81,I259,VLOOKUP(E259,FAAS!$K$113:$L$134,2,FALSE)),"")</f>
        <v/>
      </c>
      <c r="O259" s="1002" t="str">
        <f t="shared" si="12"/>
        <v/>
      </c>
      <c r="P259" s="1002" t="str">
        <f>IFERROR(IF(VLOOKUP(B259,'Dados gerais'!$D$33:$F$35,3,FALSE)="",VLOOKUP('Outras emissões de processo'!B259,'Fatores de Emissão'!$B$12:$E$14,3, FALSE),VLOOKUP(B259,'Dados gerais'!$D$33:$F$35,3,FALSE)),"")</f>
        <v/>
      </c>
      <c r="Q259" s="1002" t="str">
        <f t="shared" si="13"/>
        <v/>
      </c>
      <c r="R259" s="575" t="str">
        <f>IFERROR(IF(G259=FAAS!$K$135,'Outras emissões de processo'!I259,VLOOKUP(G259,FAAS!$B$63:$J$82,9,FALSE)),"")</f>
        <v/>
      </c>
      <c r="S259" s="575" t="str">
        <f t="shared" si="8"/>
        <v/>
      </c>
      <c r="T259" s="575" t="str">
        <f t="shared" si="9"/>
        <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15.6" outlineLevel="2" x14ac:dyDescent="0.3">
      <c r="B260" s="269"/>
      <c r="C260" s="962"/>
      <c r="D260" s="250"/>
      <c r="E260" s="249"/>
      <c r="F260" s="928"/>
      <c r="G260" s="269"/>
      <c r="H260" s="270"/>
      <c r="I260" s="270"/>
      <c r="J260" s="271"/>
      <c r="K260" s="623"/>
      <c r="L260" s="249"/>
      <c r="M260" s="563"/>
      <c r="N260" s="1002" t="str">
        <f>IFERROR(IF(E260=FAAS!$B$81,I260,VLOOKUP(E260,FAAS!$K$113:$L$134,2,FALSE)),"")</f>
        <v/>
      </c>
      <c r="O260" s="1002" t="str">
        <f t="shared" si="12"/>
        <v/>
      </c>
      <c r="P260" s="1002" t="str">
        <f>IFERROR(IF(VLOOKUP(B260,'Dados gerais'!$D$33:$F$35,3,FALSE)="",VLOOKUP('Outras emissões de processo'!B260,'Fatores de Emissão'!$B$12:$E$14,3, FALSE),VLOOKUP(B260,'Dados gerais'!$D$33:$F$35,3,FALSE)),"")</f>
        <v/>
      </c>
      <c r="Q260" s="1002" t="str">
        <f t="shared" si="13"/>
        <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15.6" outlineLevel="2" x14ac:dyDescent="0.3">
      <c r="B261" s="269"/>
      <c r="C261" s="962"/>
      <c r="D261" s="250"/>
      <c r="E261" s="249"/>
      <c r="F261" s="928"/>
      <c r="G261" s="269"/>
      <c r="H261" s="270"/>
      <c r="I261" s="270"/>
      <c r="J261" s="271"/>
      <c r="K261" s="623"/>
      <c r="L261" s="249"/>
      <c r="M261" s="563"/>
      <c r="N261" s="1002" t="str">
        <f>IFERROR(IF(E261=FAAS!$B$81,I261,VLOOKUP(E261,FAAS!$K$113:$L$134,2,FALSE)),"")</f>
        <v/>
      </c>
      <c r="O261" s="1002" t="str">
        <f t="shared" si="12"/>
        <v/>
      </c>
      <c r="P261" s="1002" t="str">
        <f>IFERROR(IF(VLOOKUP(B261,'Dados gerais'!$D$33:$F$35,3,FALSE)="",VLOOKUP('Outras emissões de processo'!B261,'Fatores de Emissão'!$B$12:$E$14,3, FALSE),VLOOKUP(B261,'Dados gerais'!$D$33:$F$35,3,FALSE)),"")</f>
        <v/>
      </c>
      <c r="Q261" s="1002" t="str">
        <f t="shared" si="13"/>
        <v/>
      </c>
      <c r="R261" s="575" t="str">
        <f>IFERROR(IF(G261=FAAS!$K$135,'Outras emissões de processo'!I261,VLOOKUP(G261,FAAS!$B$63:$J$82,9,FALSE)),"")</f>
        <v/>
      </c>
      <c r="S261" s="575" t="str">
        <f t="shared" si="8"/>
        <v/>
      </c>
      <c r="T261" s="575" t="str">
        <f t="shared" si="9"/>
        <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15.6" outlineLevel="2" x14ac:dyDescent="0.3">
      <c r="B262" s="269"/>
      <c r="C262" s="962"/>
      <c r="D262" s="250"/>
      <c r="E262" s="249"/>
      <c r="F262" s="928"/>
      <c r="G262" s="269"/>
      <c r="H262" s="270"/>
      <c r="I262" s="270"/>
      <c r="J262" s="271"/>
      <c r="K262" s="623"/>
      <c r="L262" s="249"/>
      <c r="M262" s="563"/>
      <c r="N262" s="1002" t="str">
        <f>IFERROR(IF(E262=FAAS!$B$81,I262,VLOOKUP(E262,FAAS!$K$113:$L$134,2,FALSE)),"")</f>
        <v/>
      </c>
      <c r="O262" s="1002" t="str">
        <f t="shared" si="12"/>
        <v/>
      </c>
      <c r="P262" s="1002" t="str">
        <f>IFERROR(IF(VLOOKUP(B262,'Dados gerais'!$D$33:$F$35,3,FALSE)="",VLOOKUP('Outras emissões de processo'!B262,'Fatores de Emissão'!$B$12:$E$14,3, FALSE),VLOOKUP(B262,'Dados gerais'!$D$33:$F$35,3,FALSE)),"")</f>
        <v/>
      </c>
      <c r="Q262" s="1002" t="str">
        <f t="shared" si="13"/>
        <v/>
      </c>
      <c r="R262" s="575" t="str">
        <f>IFERROR(IF(G262=FAAS!$K$135,'Outras emissões de processo'!I262,VLOOKUP(G262,FAAS!$B$63:$J$82,9,FALSE)),"")</f>
        <v/>
      </c>
      <c r="S262" s="575" t="str">
        <f t="shared" si="8"/>
        <v/>
      </c>
      <c r="T262" s="575" t="str">
        <f t="shared" si="9"/>
        <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15.6" outlineLevel="2" x14ac:dyDescent="0.3">
      <c r="B263" s="269"/>
      <c r="C263" s="962"/>
      <c r="D263" s="250"/>
      <c r="E263" s="249"/>
      <c r="F263" s="928"/>
      <c r="G263" s="269"/>
      <c r="H263" s="270"/>
      <c r="I263" s="270"/>
      <c r="J263" s="271"/>
      <c r="K263" s="623"/>
      <c r="L263" s="249"/>
      <c r="M263" s="563"/>
      <c r="N263" s="1002" t="str">
        <f>IFERROR(IF(E263=FAAS!$B$81,I263,VLOOKUP(E263,FAAS!$K$113:$L$134,2,FALSE)),"")</f>
        <v/>
      </c>
      <c r="O263" s="1002" t="str">
        <f t="shared" si="12"/>
        <v/>
      </c>
      <c r="P263" s="1002" t="str">
        <f>IFERROR(IF(VLOOKUP(B263,'Dados gerais'!$D$33:$F$35,3,FALSE)="",VLOOKUP('Outras emissões de processo'!B263,'Fatores de Emissão'!$B$12:$E$14,3, FALSE),VLOOKUP(B263,'Dados gerais'!$D$33:$F$35,3,FALSE)),"")</f>
        <v/>
      </c>
      <c r="Q263" s="1002" t="str">
        <f t="shared" si="13"/>
        <v/>
      </c>
      <c r="R263" s="575" t="str">
        <f>IFERROR(IF(G263=FAAS!$K$135,'Outras emissões de processo'!I263,VLOOKUP(G263,FAAS!$B$63:$J$82,9,FALSE)),"")</f>
        <v/>
      </c>
      <c r="S263" s="575" t="str">
        <f t="shared" si="8"/>
        <v/>
      </c>
      <c r="T263" s="575" t="str">
        <f t="shared" si="9"/>
        <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15.6" outlineLevel="2" x14ac:dyDescent="0.3">
      <c r="B264" s="269"/>
      <c r="C264" s="962"/>
      <c r="D264" s="250"/>
      <c r="E264" s="249"/>
      <c r="F264" s="928"/>
      <c r="G264" s="269"/>
      <c r="H264" s="270"/>
      <c r="I264" s="270"/>
      <c r="J264" s="271"/>
      <c r="K264" s="623"/>
      <c r="L264" s="249"/>
      <c r="M264" s="563"/>
      <c r="N264" s="1002" t="str">
        <f>IFERROR(IF(E264=FAAS!$B$81,I264,VLOOKUP(E264,FAAS!$K$113:$L$134,2,FALSE)),"")</f>
        <v/>
      </c>
      <c r="O264" s="1002" t="str">
        <f t="shared" si="12"/>
        <v/>
      </c>
      <c r="P264" s="1002" t="str">
        <f>IFERROR(IF(VLOOKUP(B264,'Dados gerais'!$D$33:$F$35,3,FALSE)="",VLOOKUP('Outras emissões de processo'!B264,'Fatores de Emissão'!$B$12:$E$14,3, FALSE),VLOOKUP(B264,'Dados gerais'!$D$33:$F$35,3,FALSE)),"")</f>
        <v/>
      </c>
      <c r="Q264" s="1002" t="str">
        <f t="shared" si="13"/>
        <v/>
      </c>
      <c r="R264" s="575" t="str">
        <f>IFERROR(IF(G264=FAAS!$K$135,'Outras emissões de processo'!I264,VLOOKUP(G264,FAAS!$B$63:$J$82,9,FALSE)),"")</f>
        <v/>
      </c>
      <c r="S264" s="575" t="str">
        <f t="shared" si="8"/>
        <v/>
      </c>
      <c r="T264" s="575" t="str">
        <f t="shared" si="9"/>
        <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15.6" outlineLevel="2" x14ac:dyDescent="0.3">
      <c r="B265" s="269"/>
      <c r="C265" s="962"/>
      <c r="D265" s="250"/>
      <c r="E265" s="249"/>
      <c r="F265" s="928"/>
      <c r="G265" s="269"/>
      <c r="H265" s="270"/>
      <c r="I265" s="270"/>
      <c r="J265" s="271"/>
      <c r="K265" s="623"/>
      <c r="L265" s="249"/>
      <c r="M265" s="563"/>
      <c r="N265" s="1002" t="str">
        <f>IFERROR(IF(E265=FAAS!$B$81,I265,VLOOKUP(E265,FAAS!$K$113:$L$134,2,FALSE)),"")</f>
        <v/>
      </c>
      <c r="O265" s="1002" t="str">
        <f t="shared" si="12"/>
        <v/>
      </c>
      <c r="P265" s="1002" t="str">
        <f>IFERROR(IF(VLOOKUP(B265,'Dados gerais'!$D$33:$F$35,3,FALSE)="",VLOOKUP('Outras emissões de processo'!B265,'Fatores de Emissão'!$B$12:$E$14,3, FALSE),VLOOKUP(B265,'Dados gerais'!$D$33:$F$35,3,FALSE)),"")</f>
        <v/>
      </c>
      <c r="Q265" s="1002" t="str">
        <f t="shared" si="13"/>
        <v/>
      </c>
      <c r="R265" s="575" t="str">
        <f>IFERROR(IF(G265=FAAS!$K$135,'Outras emissões de processo'!I265,VLOOKUP(G265,FAAS!$B$63:$J$82,9,FALSE)),"")</f>
        <v/>
      </c>
      <c r="S265" s="575" t="str">
        <f t="shared" si="8"/>
        <v/>
      </c>
      <c r="T265" s="575" t="str">
        <f t="shared" si="9"/>
        <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15.6" outlineLevel="2" x14ac:dyDescent="0.3">
      <c r="B266" s="269"/>
      <c r="C266" s="962"/>
      <c r="D266" s="250"/>
      <c r="E266" s="249"/>
      <c r="F266" s="928"/>
      <c r="G266" s="269"/>
      <c r="H266" s="270"/>
      <c r="I266" s="270"/>
      <c r="J266" s="271"/>
      <c r="K266" s="623"/>
      <c r="L266" s="249"/>
      <c r="M266" s="563"/>
      <c r="N266" s="1002" t="str">
        <f>IFERROR(IF(E266=FAAS!$B$81,I266,VLOOKUP(E266,FAAS!$K$113:$L$134,2,FALSE)),"")</f>
        <v/>
      </c>
      <c r="O266" s="1002" t="str">
        <f t="shared" si="12"/>
        <v/>
      </c>
      <c r="P266" s="1002" t="str">
        <f>IFERROR(IF(VLOOKUP(B266,'Dados gerais'!$D$33:$F$35,3,FALSE)="",VLOOKUP('Outras emissões de processo'!B266,'Fatores de Emissão'!$B$12:$E$14,3, FALSE),VLOOKUP(B266,'Dados gerais'!$D$33:$F$35,3,FALSE)),"")</f>
        <v/>
      </c>
      <c r="Q266" s="1002" t="str">
        <f t="shared" si="13"/>
        <v/>
      </c>
      <c r="R266" s="575" t="str">
        <f>IFERROR(IF(G266=FAAS!$K$135,'Outras emissões de processo'!I266,VLOOKUP(G266,FAAS!$B$63:$J$82,9,FALSE)),"")</f>
        <v/>
      </c>
      <c r="S266" s="575" t="str">
        <f t="shared" si="8"/>
        <v/>
      </c>
      <c r="T266" s="575" t="str">
        <f t="shared" si="9"/>
        <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x14ac:dyDescent="0.3">
      <c r="B267" s="278" t="s">
        <v>41</v>
      </c>
      <c r="C267" s="279"/>
      <c r="D267" s="279"/>
      <c r="E267" s="279"/>
      <c r="F267" s="843">
        <f>SUM(F167:F266)</f>
        <v>119.36319999999999</v>
      </c>
      <c r="G267" s="279"/>
      <c r="H267" s="279"/>
      <c r="I267" s="279"/>
      <c r="J267" s="280"/>
      <c r="K267" s="339">
        <f>SUM(K167:K266)</f>
        <v>486.86089999999984</v>
      </c>
      <c r="L267" s="279"/>
      <c r="M267" s="339">
        <f>SUM(M167:M266)</f>
        <v>0</v>
      </c>
      <c r="N267" s="1003">
        <f>SUM(N167:N266)</f>
        <v>790.09388842631142</v>
      </c>
      <c r="O267" s="1003">
        <f>SUM(O167:O266)</f>
        <v>1522.8341371432136</v>
      </c>
      <c r="P267" s="1004"/>
      <c r="Q267" s="1003">
        <f t="shared" ref="Q267:W267" si="14">SUM(Q167:Q266)</f>
        <v>571.06280142870548</v>
      </c>
      <c r="R267" s="1003">
        <f t="shared" si="14"/>
        <v>157.38242225040673</v>
      </c>
      <c r="S267" s="1003">
        <f t="shared" si="14"/>
        <v>3497.5140277299802</v>
      </c>
      <c r="T267" s="1003">
        <f t="shared" si="14"/>
        <v>91048.979202488001</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61" t="s">
        <v>1525</v>
      </c>
      <c r="C281" s="1161"/>
      <c r="D281" s="1161"/>
      <c r="E281" s="1161"/>
      <c r="F281" s="1161"/>
      <c r="G281" s="1161"/>
      <c r="H281" s="1161"/>
      <c r="I281" s="1161"/>
      <c r="J281" s="1161"/>
      <c r="K281" s="1161"/>
      <c r="L281" s="1161"/>
      <c r="M281" s="1161"/>
      <c r="N281" s="1161"/>
      <c r="O281" s="1161"/>
      <c r="P281" s="1161"/>
      <c r="Q281" s="230"/>
      <c r="R281" s="230"/>
      <c r="S281" s="230"/>
      <c r="T281" s="234"/>
      <c r="U281" s="234"/>
      <c r="V281" s="234"/>
      <c r="W281" s="234"/>
      <c r="X281" s="234"/>
      <c r="Y281" s="234"/>
      <c r="Z281" s="234"/>
      <c r="AA281" s="234"/>
    </row>
    <row r="282" spans="2:27" ht="19.95" customHeight="1" x14ac:dyDescent="0.3">
      <c r="B282" s="1195" t="s">
        <v>1526</v>
      </c>
      <c r="C282" s="1195"/>
      <c r="D282" s="1195"/>
      <c r="E282" s="1195"/>
      <c r="F282" s="1195"/>
      <c r="G282" s="1195"/>
      <c r="H282" s="1195"/>
      <c r="I282" s="1195"/>
      <c r="J282" s="1195"/>
      <c r="K282" s="1195"/>
      <c r="L282" s="1195"/>
      <c r="M282" s="1195"/>
      <c r="N282" s="1195"/>
      <c r="O282" s="1195"/>
      <c r="P282" s="1195"/>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58" t="s">
        <v>896</v>
      </c>
      <c r="C286" s="1058" t="s">
        <v>897</v>
      </c>
      <c r="D286" s="1058" t="s">
        <v>1178</v>
      </c>
      <c r="E286" s="1058" t="s">
        <v>1249</v>
      </c>
      <c r="F286" s="1212" t="s">
        <v>1540</v>
      </c>
      <c r="G286" s="1213"/>
      <c r="H286" s="1213"/>
      <c r="I286" s="1214"/>
      <c r="J286" s="1212" t="s">
        <v>948</v>
      </c>
      <c r="K286" s="1213"/>
      <c r="L286" s="1213"/>
      <c r="M286" s="1213"/>
      <c r="N286" s="1213"/>
      <c r="O286" s="1213"/>
      <c r="P286" s="1213"/>
      <c r="Q286" s="1213"/>
      <c r="R286" s="1214"/>
      <c r="S286" s="1058" t="s">
        <v>1138</v>
      </c>
    </row>
    <row r="287" spans="2:27" ht="30.6" customHeight="1" x14ac:dyDescent="0.3">
      <c r="B287" s="1059"/>
      <c r="C287" s="1059"/>
      <c r="D287" s="1059"/>
      <c r="E287" s="1059"/>
      <c r="F287" s="1145" t="s">
        <v>1539</v>
      </c>
      <c r="G287" s="1159" t="s">
        <v>30</v>
      </c>
      <c r="H287" s="1159" t="s">
        <v>956</v>
      </c>
      <c r="I287" s="1159" t="s">
        <v>949</v>
      </c>
      <c r="J287" s="1198" t="s">
        <v>982</v>
      </c>
      <c r="K287" s="1199"/>
      <c r="L287" s="1200"/>
      <c r="M287" s="1203" t="s">
        <v>1139</v>
      </c>
      <c r="N287" s="1204"/>
      <c r="O287" s="1205" t="s">
        <v>981</v>
      </c>
      <c r="P287" s="1206"/>
      <c r="Q287" s="1206"/>
      <c r="R287" s="1206"/>
      <c r="S287" s="1059"/>
    </row>
    <row r="288" spans="2:27" ht="62.4" x14ac:dyDescent="0.3">
      <c r="B288" s="1060"/>
      <c r="C288" s="1060"/>
      <c r="D288" s="1060"/>
      <c r="E288" s="1060"/>
      <c r="F288" s="1145"/>
      <c r="G288" s="1159"/>
      <c r="H288" s="1159"/>
      <c r="I288" s="1159"/>
      <c r="J288" s="238" t="s">
        <v>1592</v>
      </c>
      <c r="K288" s="257" t="s">
        <v>33</v>
      </c>
      <c r="L288" s="238" t="s">
        <v>958</v>
      </c>
      <c r="M288" s="240" t="s">
        <v>1152</v>
      </c>
      <c r="N288" s="238" t="s">
        <v>937</v>
      </c>
      <c r="O288" s="237" t="s">
        <v>1182</v>
      </c>
      <c r="P288" s="237" t="s">
        <v>1180</v>
      </c>
      <c r="Q288" s="237" t="s">
        <v>1181</v>
      </c>
      <c r="R288" s="239" t="s">
        <v>937</v>
      </c>
      <c r="S288" s="1060"/>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58" t="s">
        <v>1492</v>
      </c>
      <c r="G396" s="1082"/>
      <c r="H396" s="1083"/>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63" t="s">
        <v>1494</v>
      </c>
      <c r="D398" s="1064"/>
      <c r="E398" s="1065"/>
      <c r="F398" s="848">
        <f>IF(F399+F400+F403="","",F399+F400+F403)</f>
        <v>-737.46171392962958</v>
      </c>
      <c r="G398" s="848">
        <f t="shared" ref="G398" si="18">IF(G399+G400+G403="","",G399+G400+G403)</f>
        <v>-2188.9895123716451</v>
      </c>
      <c r="H398" s="848">
        <f>IF(H399+H400+H403="","",H399+H400+H403)</f>
        <v>0</v>
      </c>
    </row>
    <row r="399" spans="2:20" ht="15.6" x14ac:dyDescent="0.3">
      <c r="C399" s="1063" t="s">
        <v>1202</v>
      </c>
      <c r="D399" s="1064"/>
      <c r="E399" s="1065"/>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-737.46171392962958</v>
      </c>
      <c r="G400" s="825">
        <f t="shared" ref="G400:H400" si="19">SUM(G401:G402)</f>
        <v>-2188.9895123716451</v>
      </c>
      <c r="H400" s="825">
        <f t="shared" si="19"/>
        <v>0</v>
      </c>
    </row>
    <row r="401" spans="3:9" ht="15.6" x14ac:dyDescent="0.3">
      <c r="C401" s="198" t="s">
        <v>1200</v>
      </c>
      <c r="D401" s="199"/>
      <c r="E401" s="200"/>
      <c r="F401" s="826">
        <f>-IF(AND(SUMIF($B$167:$B$266,$F$397,$S$167:$S$266)="",SUMIF($B$167:$B$266,$F$397,$S$167:$S$266)=0),"",SUMIF($B$167:$B$266,$F$397,$S$167:$S$266))</f>
        <v>-1308.5245153583351</v>
      </c>
      <c r="G401" s="826">
        <f>-SUMIF($B$167:$B$266,$G$397,$S$167:$S$266)</f>
        <v>-2188.9895123716451</v>
      </c>
      <c r="H401" s="826">
        <f>-SUMIF($B$167:$B$266,$H$397,$S$167:$S$266)</f>
        <v>0</v>
      </c>
    </row>
    <row r="402" spans="3:9" ht="15.6" x14ac:dyDescent="0.3">
      <c r="C402" s="198" t="s">
        <v>1201</v>
      </c>
      <c r="D402" s="199"/>
      <c r="E402" s="200"/>
      <c r="F402" s="826">
        <f>SUMIF($B$167:$B$266,$F$397,$Q$167:$Q$266)</f>
        <v>571.06280142870548</v>
      </c>
      <c r="G402" s="826">
        <f>SUMIF($B$167:$B$266,$G$397,$Q$167:$Q$266)</f>
        <v>0</v>
      </c>
      <c r="H402" s="826">
        <f>SUMIF($B$167:$B$266,$H$397,$Q$167:$Q$266)</f>
        <v>0</v>
      </c>
    </row>
    <row r="403" spans="3:9" ht="15.6" x14ac:dyDescent="0.3">
      <c r="C403" s="1063" t="s">
        <v>1248</v>
      </c>
      <c r="D403" s="1064"/>
      <c r="E403" s="1065"/>
      <c r="F403" s="825">
        <f>SUM(F404:F405)</f>
        <v>0</v>
      </c>
      <c r="G403" s="825">
        <f t="shared" ref="G403" si="20">SUM(G404:G405)</f>
        <v>0</v>
      </c>
      <c r="H403" s="825">
        <f>SUM(H404:H405)</f>
        <v>0</v>
      </c>
    </row>
    <row r="404" spans="3:9" ht="15.6" x14ac:dyDescent="0.3">
      <c r="C404" s="1063" t="s">
        <v>1203</v>
      </c>
      <c r="D404" s="1064"/>
      <c r="E404" s="1065"/>
      <c r="F404" s="826">
        <f>FAOEP!F149</f>
        <v>0</v>
      </c>
      <c r="G404" s="826">
        <f>FAOEP!H149</f>
        <v>0</v>
      </c>
      <c r="H404" s="826">
        <f>+FAOEP!J149</f>
        <v>0</v>
      </c>
    </row>
    <row r="405" spans="3:9" ht="15.6" x14ac:dyDescent="0.3">
      <c r="C405" s="1207" t="s">
        <v>1204</v>
      </c>
      <c r="D405" s="1208"/>
      <c r="E405" s="1209"/>
      <c r="F405" s="826">
        <f>FAOEP!G149</f>
        <v>0</v>
      </c>
      <c r="G405" s="826">
        <f>FAOEP!I149</f>
        <v>0</v>
      </c>
      <c r="H405" s="826">
        <f>+FAOEP!K149</f>
        <v>0</v>
      </c>
    </row>
    <row r="406" spans="3:9" ht="15.6" x14ac:dyDescent="0.3">
      <c r="C406" s="284"/>
      <c r="D406" s="284"/>
      <c r="E406" s="284"/>
      <c r="F406" s="268"/>
      <c r="G406" s="268"/>
      <c r="H406" s="268"/>
    </row>
    <row r="407" spans="3:9" ht="18" x14ac:dyDescent="0.3">
      <c r="F407" s="1210" t="s">
        <v>1493</v>
      </c>
      <c r="G407" s="1081"/>
      <c r="H407" s="1211"/>
      <c r="I407" s="285" t="s">
        <v>41</v>
      </c>
    </row>
    <row r="408" spans="3:9" ht="15.6" x14ac:dyDescent="0.3">
      <c r="C408" s="1063" t="str">
        <f t="shared" ref="C408:C415" si="21">C398</f>
        <v>Total de outras emissões de processo</v>
      </c>
      <c r="D408" s="1064"/>
      <c r="E408" s="1065"/>
      <c r="F408" s="848">
        <f>F409+F410+F413</f>
        <v>-1966.564570479012</v>
      </c>
      <c r="G408" s="848">
        <f t="shared" ref="G408:H408" si="22">G409+G410+G413</f>
        <v>-87559.580494865804</v>
      </c>
      <c r="H408" s="848">
        <f t="shared" si="22"/>
        <v>0</v>
      </c>
      <c r="I408" s="848">
        <f>SUM(F408:H408)</f>
        <v>-89526.145065344812</v>
      </c>
    </row>
    <row r="409" spans="3:9" ht="15.6" x14ac:dyDescent="0.3">
      <c r="C409" s="1063" t="str">
        <f t="shared" si="21"/>
        <v xml:space="preserve">       Emissões de GEE de agricultura e pecuária (inclui terrenos inundados)</v>
      </c>
      <c r="D409" s="1064"/>
      <c r="E409" s="1065"/>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-1966.564570479012</v>
      </c>
      <c r="G410" s="825">
        <f t="shared" ref="G410:H410" si="24">SUM(G411:G412)</f>
        <v>-87559.580494865804</v>
      </c>
      <c r="H410" s="825">
        <f t="shared" si="24"/>
        <v>0</v>
      </c>
      <c r="I410" s="825">
        <f t="shared" si="23"/>
        <v>-89526.145065344812</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-3489.3987076222265</v>
      </c>
      <c r="G411" s="826">
        <f>IF(VLOOKUP(G$397,'Dados gerais'!$D$33:$F$35,3,FALSE)="",VLOOKUP(G$397,'Fatores de Emissão'!$B$12:$E$14,3,FALSE)*G401,VLOOKUP(G$397,'Dados gerais'!$D$33:$F$35,3,FALSE)*G401)</f>
        <v>-87559.580494865804</v>
      </c>
      <c r="H411" s="826">
        <f>IF(VLOOKUP(H$397,'Dados gerais'!$D$33:$F$35,3,FALSE)="",VLOOKUP(H$397,'Fatores de Emissão'!$B$12:$E$14,3,FALSE)*H401,VLOOKUP(H$397,'Dados gerais'!$D$33:$F$35,3,FALSE)*H401)</f>
        <v>0</v>
      </c>
      <c r="I411" s="826">
        <f t="shared" si="23"/>
        <v>-91048.97920248803</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1522.8341371432145</v>
      </c>
      <c r="G412" s="826">
        <f>IF(VLOOKUP(G$397,'Dados gerais'!$D$33:$F$35,3,FALSE)="",VLOOKUP(G$397,'Fatores de Emissão'!$B$12:$E$14,3,FALSE)*G402,VLOOKUP(G$397,'Dados gerais'!$D$33:$F$35,3,FALSE)*G402)</f>
        <v>0</v>
      </c>
      <c r="H412" s="826">
        <f>IF(VLOOKUP(H$397,'Dados gerais'!$D$33:$F$35,3,FALSE)="",VLOOKUP(H$397,'Fatores de Emissão'!$B$12:$E$14,3,FALSE)*H402,VLOOKUP(H$397,'Dados gerais'!$D$33:$F$35,3,FALSE)*H402)</f>
        <v>0</v>
      </c>
      <c r="I412" s="826">
        <f t="shared" si="23"/>
        <v>1522.8341371432145</v>
      </c>
    </row>
    <row r="413" spans="3:9" ht="15.6" x14ac:dyDescent="0.3">
      <c r="C413" s="1063" t="str">
        <f t="shared" si="21"/>
        <v xml:space="preserve">       Emissões de resíduos e águas residuais</v>
      </c>
      <c r="D413" s="1064"/>
      <c r="E413" s="1065"/>
      <c r="F413" s="825">
        <f>SUM(F414:F415)</f>
        <v>0</v>
      </c>
      <c r="G413" s="825">
        <f t="shared" ref="G413" si="25">SUM(G414:G415)</f>
        <v>0</v>
      </c>
      <c r="H413" s="825">
        <f>SUM(H414:H415)</f>
        <v>0</v>
      </c>
      <c r="I413" s="825">
        <f t="shared" si="23"/>
        <v>0</v>
      </c>
    </row>
    <row r="414" spans="3:9" ht="15.6" x14ac:dyDescent="0.3">
      <c r="C414" s="1063" t="str">
        <f t="shared" si="21"/>
        <v xml:space="preserve">              Emissões diretas</v>
      </c>
      <c r="D414" s="1064"/>
      <c r="E414" s="1065"/>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63" t="str">
        <f t="shared" si="21"/>
        <v xml:space="preserve">              Emissões indiretas</v>
      </c>
      <c r="D415" s="1064"/>
      <c r="E415" s="1065"/>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B167:E266 Z167:AA266 L167:M266 G167:J266 L42:R141 H42:J141" name="OEP1"/>
  </protectedRanges>
  <dataConsolidate/>
  <mergeCells count="84">
    <mergeCell ref="J286:R286"/>
    <mergeCell ref="F286:I286"/>
    <mergeCell ref="F287:F288"/>
    <mergeCell ref="G287:G288"/>
    <mergeCell ref="H287:H288"/>
    <mergeCell ref="I287:I288"/>
    <mergeCell ref="O287:R287"/>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C414:E414"/>
    <mergeCell ref="C415:E415"/>
    <mergeCell ref="C404:E404"/>
    <mergeCell ref="C405:E405"/>
    <mergeCell ref="F407:H407"/>
    <mergeCell ref="C408:E408"/>
    <mergeCell ref="C409:E409"/>
    <mergeCell ref="C413:E413"/>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U163:W163"/>
    <mergeCell ref="U164:U165"/>
    <mergeCell ref="V164:V165"/>
    <mergeCell ref="W164:W165"/>
    <mergeCell ref="T164:T165"/>
    <mergeCell ref="R163:T163"/>
    <mergeCell ref="R164:R165"/>
    <mergeCell ref="D8:H8"/>
    <mergeCell ref="B32:P32"/>
    <mergeCell ref="B12:K12"/>
    <mergeCell ref="B13:K13"/>
    <mergeCell ref="B17:K17"/>
    <mergeCell ref="B18:K18"/>
    <mergeCell ref="B19:K19"/>
    <mergeCell ref="B20:K20"/>
    <mergeCell ref="B31:K31"/>
    <mergeCell ref="B11:J11"/>
    <mergeCell ref="B14:J14"/>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Q164:Q165"/>
    <mergeCell ref="L163:M163"/>
    <mergeCell ref="P164:P165"/>
    <mergeCell ref="N163:Q163"/>
    <mergeCell ref="N164:N165"/>
    <mergeCell ref="O164:O165"/>
  </mergeCells>
  <conditionalFormatting sqref="E42:E141">
    <cfRule type="expression" dxfId="48" priority="91">
      <formula>D42=""</formula>
    </cfRule>
  </conditionalFormatting>
  <conditionalFormatting sqref="F42:F141">
    <cfRule type="expression" dxfId="46" priority="79">
      <formula>AND($M42="", $O42="", $P42="",$Q42="")</formula>
    </cfRule>
  </conditionalFormatting>
  <conditionalFormatting sqref="F290:F389">
    <cfRule type="expression" dxfId="44" priority="54">
      <formula>AND($M290="", $O290="", $P290="",$Q290="")</formula>
    </cfRule>
  </conditionalFormatting>
  <conditionalFormatting sqref="G42:G141">
    <cfRule type="expression" dxfId="43" priority="76">
      <formula>$M42&gt;0</formula>
    </cfRule>
  </conditionalFormatting>
  <conditionalFormatting sqref="G290:G389">
    <cfRule type="expression" dxfId="41"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6" id="{B7707F5E-38AB-480C-9422-0AC5E144458A}">
            <xm:f>Triagem!$C$32=""</xm:f>
            <x14:dxf>
              <font>
                <b/>
                <i val="0"/>
                <u val="double"/>
                <color rgb="FFFF0000"/>
              </font>
              <fill>
                <patternFill>
                  <bgColor theme="7" tint="0.79998168889431442"/>
                </patternFill>
              </fill>
            </x14:dxf>
          </x14:cfRule>
          <x14:cfRule type="expression" priority="87" id="{9630146E-B763-4DE4-A23D-EEB1C20F944B}">
            <xm:f>Triagem!$C$32="Sim"</xm:f>
            <x14:dxf/>
          </x14:cfRule>
          <x14:cfRule type="expression" priority="88" id="{ACF73FCC-32EB-4656-AF5E-4AB94B264ABD}">
            <xm:f>Triagem!$C$32="Não"</xm:f>
            <x14:dxf>
              <font>
                <color theme="2" tint="-0.24994659260841701"/>
              </font>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69" t="str">
        <f>'Outras emissões de processo'!F397</f>
        <v>Construção ou fase preparatória</v>
      </c>
      <c r="G47" s="1169"/>
      <c r="H47" s="1169" t="str">
        <f>B38</f>
        <v>Exploração</v>
      </c>
      <c r="I47" s="1169"/>
      <c r="J47" s="1169" t="str">
        <f>+B39</f>
        <v>Desativação</v>
      </c>
      <c r="K47" s="1169"/>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69" t="str">
        <f>F47</f>
        <v>Construção ou fase preparatória</v>
      </c>
      <c r="G151" s="1169"/>
      <c r="H151" s="1169" t="str">
        <f>H47</f>
        <v>Exploração</v>
      </c>
      <c r="I151" s="1169"/>
      <c r="J151" s="1169" t="str">
        <f>J47</f>
        <v>Desativação</v>
      </c>
      <c r="K151" s="1169"/>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41" t="s">
        <v>333</v>
      </c>
      <c r="B31" s="1241" t="s">
        <v>425</v>
      </c>
      <c r="C31" s="1241" t="s">
        <v>202</v>
      </c>
      <c r="D31" s="17"/>
      <c r="F31" s="3" t="s">
        <v>341</v>
      </c>
      <c r="G31" s="3" t="s">
        <v>342</v>
      </c>
      <c r="H31" s="3" t="s">
        <v>343</v>
      </c>
      <c r="I31" s="3" t="s">
        <v>344</v>
      </c>
      <c r="J31" s="3" t="s">
        <v>346</v>
      </c>
      <c r="K31" s="3" t="s">
        <v>348</v>
      </c>
      <c r="L31" s="3" t="s">
        <v>350</v>
      </c>
      <c r="N31" s="1238" t="s">
        <v>332</v>
      </c>
      <c r="O31" s="1238" t="s">
        <v>352</v>
      </c>
      <c r="W31" s="1215" t="s">
        <v>1153</v>
      </c>
      <c r="X31" s="1215"/>
      <c r="Y31" s="1215"/>
      <c r="Z31" s="1215"/>
      <c r="AA31" s="1215"/>
      <c r="AB31" s="1215"/>
    </row>
    <row r="32" spans="1:28" x14ac:dyDescent="0.3">
      <c r="A32" s="1242"/>
      <c r="B32" s="1242"/>
      <c r="C32" s="1242"/>
      <c r="D32" s="17"/>
      <c r="F32" s="291" t="s">
        <v>583</v>
      </c>
      <c r="G32" s="291" t="s">
        <v>583</v>
      </c>
      <c r="H32" s="291" t="s">
        <v>1156</v>
      </c>
      <c r="I32" s="291" t="s">
        <v>345</v>
      </c>
      <c r="J32" s="3" t="s">
        <v>347</v>
      </c>
      <c r="K32" s="3" t="s">
        <v>349</v>
      </c>
      <c r="L32" s="3" t="s">
        <v>349</v>
      </c>
      <c r="N32" s="1239"/>
      <c r="O32" s="1239"/>
      <c r="W32" s="287"/>
      <c r="X32" s="288" t="s">
        <v>1154</v>
      </c>
      <c r="Y32" s="288"/>
      <c r="Z32" s="288"/>
      <c r="AA32" s="288"/>
      <c r="AB32" s="146"/>
    </row>
    <row r="33" spans="1:28" x14ac:dyDescent="0.3">
      <c r="A33" s="1219"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20"/>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20"/>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20"/>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20"/>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20"/>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20"/>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21"/>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19"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20"/>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20"/>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20"/>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20"/>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21"/>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40"/>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40"/>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40"/>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40"/>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40"/>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40"/>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40"/>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40"/>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40"/>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40"/>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40"/>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40"/>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40"/>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40"/>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26" t="s">
        <v>353</v>
      </c>
      <c r="B89" s="1227"/>
      <c r="C89" s="1223" t="s">
        <v>376</v>
      </c>
      <c r="D89" s="1224"/>
      <c r="E89" s="1225"/>
      <c r="F89" s="1223" t="s">
        <v>378</v>
      </c>
      <c r="G89" s="1224"/>
      <c r="H89" s="1225"/>
      <c r="I89" s="217" t="s">
        <v>380</v>
      </c>
    </row>
    <row r="90" spans="1:12" x14ac:dyDescent="0.3">
      <c r="A90" s="1228"/>
      <c r="B90" s="1229"/>
      <c r="C90" s="217">
        <v>1995</v>
      </c>
      <c r="D90" s="217">
        <v>2005</v>
      </c>
      <c r="E90" s="217">
        <v>2010</v>
      </c>
      <c r="F90" s="217">
        <v>1995</v>
      </c>
      <c r="G90" s="217">
        <v>2005</v>
      </c>
      <c r="H90" s="217">
        <v>2010</v>
      </c>
      <c r="I90" s="217" t="s">
        <v>379</v>
      </c>
    </row>
    <row r="91" spans="1:12" x14ac:dyDescent="0.3">
      <c r="A91" s="1230"/>
      <c r="B91" s="1231"/>
      <c r="C91" s="217" t="s">
        <v>377</v>
      </c>
      <c r="D91" s="217" t="s">
        <v>377</v>
      </c>
      <c r="E91" s="217" t="s">
        <v>377</v>
      </c>
      <c r="F91" s="217" t="s">
        <v>377</v>
      </c>
      <c r="G91" s="217" t="s">
        <v>377</v>
      </c>
      <c r="H91" s="217" t="s">
        <v>377</v>
      </c>
      <c r="I91" s="217" t="s">
        <v>377</v>
      </c>
    </row>
    <row r="92" spans="1:12" x14ac:dyDescent="0.3">
      <c r="A92" s="1216" t="s">
        <v>334</v>
      </c>
      <c r="B92" s="221" t="str">
        <f>B63</f>
        <v>Pinheiro-bravo</v>
      </c>
      <c r="C92" s="221">
        <v>28.29</v>
      </c>
      <c r="D92" s="221">
        <v>26.74</v>
      </c>
      <c r="E92" s="221">
        <v>26.74</v>
      </c>
      <c r="F92" s="221">
        <v>3.33</v>
      </c>
      <c r="G92" s="221">
        <v>3.14</v>
      </c>
      <c r="H92" s="221">
        <v>3.14</v>
      </c>
      <c r="I92" s="221">
        <v>2.96</v>
      </c>
    </row>
    <row r="93" spans="1:12" x14ac:dyDescent="0.3">
      <c r="A93" s="1217"/>
      <c r="B93" s="221" t="str">
        <f t="shared" ref="B93:B99" si="13">B64</f>
        <v>Sobreiro</v>
      </c>
      <c r="C93" s="221">
        <v>20.67</v>
      </c>
      <c r="D93" s="221">
        <v>20.04</v>
      </c>
      <c r="E93" s="221">
        <v>20.04</v>
      </c>
      <c r="F93" s="221">
        <v>3.03</v>
      </c>
      <c r="G93" s="221">
        <v>2.94</v>
      </c>
      <c r="H93" s="221">
        <v>2.94</v>
      </c>
      <c r="I93" s="221">
        <v>2.04</v>
      </c>
    </row>
    <row r="94" spans="1:12" x14ac:dyDescent="0.3">
      <c r="A94" s="1217"/>
      <c r="B94" s="221" t="str">
        <f t="shared" si="13"/>
        <v>Eucalipto</v>
      </c>
      <c r="C94" s="221">
        <v>16.72</v>
      </c>
      <c r="D94" s="221">
        <v>17.97</v>
      </c>
      <c r="E94" s="221">
        <v>17.97</v>
      </c>
      <c r="F94" s="221">
        <v>3.88</v>
      </c>
      <c r="G94" s="221">
        <v>4.2</v>
      </c>
      <c r="H94" s="221">
        <v>4.2</v>
      </c>
      <c r="I94" s="221">
        <v>1.85</v>
      </c>
    </row>
    <row r="95" spans="1:12" x14ac:dyDescent="0.3">
      <c r="A95" s="1217"/>
      <c r="B95" s="221" t="str">
        <f t="shared" si="13"/>
        <v>Azinheira</v>
      </c>
      <c r="C95" s="221">
        <v>9.4700000000000006</v>
      </c>
      <c r="D95" s="221">
        <v>8.3699999999999992</v>
      </c>
      <c r="E95" s="221">
        <v>8.3699999999999992</v>
      </c>
      <c r="F95" s="221">
        <v>5.03</v>
      </c>
      <c r="G95" s="221">
        <v>4.92</v>
      </c>
      <c r="H95" s="221">
        <v>4.92</v>
      </c>
      <c r="I95" s="221">
        <v>2.04</v>
      </c>
    </row>
    <row r="96" spans="1:12" x14ac:dyDescent="0.3">
      <c r="A96" s="1217"/>
      <c r="B96" s="221" t="str">
        <f t="shared" si="13"/>
        <v>Carvalhos</v>
      </c>
      <c r="C96" s="221">
        <v>15.45</v>
      </c>
      <c r="D96" s="221">
        <v>15.87</v>
      </c>
      <c r="E96" s="221">
        <v>15.87</v>
      </c>
      <c r="F96" s="221">
        <v>4.83</v>
      </c>
      <c r="G96" s="221">
        <v>4.6900000000000004</v>
      </c>
      <c r="H96" s="221">
        <v>4.6900000000000004</v>
      </c>
      <c r="I96" s="221">
        <v>1.85</v>
      </c>
    </row>
    <row r="97" spans="1:14" x14ac:dyDescent="0.3">
      <c r="A97" s="1217"/>
      <c r="B97" s="221" t="str">
        <f t="shared" si="13"/>
        <v>Outras folhosas</v>
      </c>
      <c r="C97" s="221">
        <v>20.399999999999999</v>
      </c>
      <c r="D97" s="221">
        <v>30.79</v>
      </c>
      <c r="E97" s="221">
        <v>30.79</v>
      </c>
      <c r="F97" s="221">
        <v>7.67</v>
      </c>
      <c r="G97" s="221">
        <v>13.34</v>
      </c>
      <c r="H97" s="221">
        <v>13.34</v>
      </c>
      <c r="I97" s="221">
        <v>1.85</v>
      </c>
    </row>
    <row r="98" spans="1:14" x14ac:dyDescent="0.3">
      <c r="A98" s="1217"/>
      <c r="B98" s="221" t="str">
        <f t="shared" si="13"/>
        <v>Pinheiro-manso</v>
      </c>
      <c r="C98" s="221">
        <v>25.4</v>
      </c>
      <c r="D98" s="221">
        <v>18.79</v>
      </c>
      <c r="E98" s="221">
        <v>18.79</v>
      </c>
      <c r="F98" s="221">
        <v>1.96</v>
      </c>
      <c r="G98" s="221">
        <v>1.46</v>
      </c>
      <c r="H98" s="221">
        <v>1.46</v>
      </c>
      <c r="I98" s="221">
        <v>2.41</v>
      </c>
    </row>
    <row r="99" spans="1:14" x14ac:dyDescent="0.3">
      <c r="A99" s="1218"/>
      <c r="B99" s="221" t="str">
        <f t="shared" si="13"/>
        <v>Outras coníferas</v>
      </c>
      <c r="C99" s="221">
        <v>8.6999999999999993</v>
      </c>
      <c r="D99" s="221">
        <v>14.51</v>
      </c>
      <c r="E99" s="221">
        <v>14.51</v>
      </c>
      <c r="F99" s="221">
        <v>1.62</v>
      </c>
      <c r="G99" s="221">
        <v>1.76</v>
      </c>
      <c r="H99" s="221">
        <v>1.76</v>
      </c>
      <c r="I99" s="221">
        <v>2.96</v>
      </c>
    </row>
    <row r="100" spans="1:14" x14ac:dyDescent="0.3">
      <c r="A100" s="1219" t="s">
        <v>336</v>
      </c>
      <c r="B100" s="5" t="str">
        <f>B71</f>
        <v>Culturas anuais de sequeiro</v>
      </c>
      <c r="C100" s="144">
        <v>0.31</v>
      </c>
      <c r="D100" s="144">
        <v>0.31</v>
      </c>
      <c r="E100" s="144">
        <v>0.31</v>
      </c>
      <c r="F100" s="144">
        <v>0.31</v>
      </c>
      <c r="G100" s="144">
        <v>0.31</v>
      </c>
      <c r="H100" s="144">
        <v>0.31</v>
      </c>
      <c r="I100" s="144">
        <v>0.33</v>
      </c>
    </row>
    <row r="101" spans="1:14" x14ac:dyDescent="0.3">
      <c r="A101" s="1220"/>
      <c r="B101" s="5" t="str">
        <f t="shared" ref="B101:B109" si="14">B72</f>
        <v>Culturas anuais irrigadas</v>
      </c>
      <c r="C101" s="144">
        <v>0.31</v>
      </c>
      <c r="D101" s="144">
        <v>0.31</v>
      </c>
      <c r="E101" s="144">
        <v>0.31</v>
      </c>
      <c r="F101" s="144">
        <v>0.31</v>
      </c>
      <c r="G101" s="144">
        <v>0.31</v>
      </c>
      <c r="H101" s="144">
        <v>0.31</v>
      </c>
      <c r="I101" s="144">
        <v>0.33</v>
      </c>
    </row>
    <row r="102" spans="1:14" x14ac:dyDescent="0.3">
      <c r="A102" s="1220"/>
      <c r="B102" s="5" t="str">
        <f t="shared" si="14"/>
        <v>Arrozais</v>
      </c>
      <c r="C102" s="144">
        <v>0.31</v>
      </c>
      <c r="D102" s="144">
        <v>0.31</v>
      </c>
      <c r="E102" s="144">
        <v>0.31</v>
      </c>
      <c r="F102" s="144">
        <v>0.31</v>
      </c>
      <c r="G102" s="144">
        <v>0.31</v>
      </c>
      <c r="H102" s="144">
        <v>0.31</v>
      </c>
      <c r="I102" s="144">
        <v>0.33</v>
      </c>
    </row>
    <row r="103" spans="1:14" x14ac:dyDescent="0.3">
      <c r="A103" s="1220"/>
      <c r="B103" s="5" t="str">
        <f t="shared" si="14"/>
        <v>Vinhas</v>
      </c>
      <c r="C103" s="144">
        <v>3.34</v>
      </c>
      <c r="D103" s="144">
        <v>3.34</v>
      </c>
      <c r="E103" s="144">
        <v>3.34</v>
      </c>
      <c r="F103" s="144">
        <v>2.87</v>
      </c>
      <c r="G103" s="144">
        <v>2.87</v>
      </c>
      <c r="H103" s="144">
        <v>2.87</v>
      </c>
      <c r="I103" s="144">
        <v>0.33</v>
      </c>
    </row>
    <row r="104" spans="1:14" x14ac:dyDescent="0.3">
      <c r="A104" s="1220"/>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21"/>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16"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17"/>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17"/>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17"/>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17"/>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17"/>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17"/>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18"/>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19"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20"/>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20"/>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20"/>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20"/>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21"/>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34" t="s">
        <v>384</v>
      </c>
      <c r="B140" s="1232" t="s">
        <v>385</v>
      </c>
      <c r="C140" s="1233"/>
      <c r="D140" s="1233"/>
      <c r="E140" s="1222"/>
      <c r="F140" s="1236"/>
      <c r="H140" s="1237"/>
      <c r="I140" s="1237"/>
    </row>
    <row r="141" spans="1:12" ht="14.7" customHeight="1" x14ac:dyDescent="0.3">
      <c r="A141" s="1235"/>
      <c r="B141" s="50" t="s">
        <v>386</v>
      </c>
      <c r="C141" s="50" t="s">
        <v>387</v>
      </c>
      <c r="D141" s="899" t="s">
        <v>388</v>
      </c>
      <c r="E141" s="1222"/>
      <c r="F141" s="1236"/>
      <c r="H141" s="1237"/>
      <c r="I141" s="1237"/>
    </row>
    <row r="142" spans="1:12" ht="28.8" x14ac:dyDescent="0.3">
      <c r="A142" s="147" t="s">
        <v>422</v>
      </c>
      <c r="B142" s="144">
        <v>6.0999999999999999E-2</v>
      </c>
      <c r="C142" s="144">
        <v>1E-3</v>
      </c>
      <c r="D142" s="145">
        <v>0.2</v>
      </c>
      <c r="E142" s="914"/>
      <c r="F142" s="1"/>
      <c r="H142" s="1237"/>
      <c r="I142" s="1237"/>
    </row>
    <row r="143" spans="1:12" ht="28.8" x14ac:dyDescent="0.3">
      <c r="A143" s="147" t="s">
        <v>423</v>
      </c>
      <c r="B143" s="144">
        <v>0.15</v>
      </c>
      <c r="C143" s="144">
        <v>-0.05</v>
      </c>
      <c r="D143" s="145">
        <v>1.1000000000000001</v>
      </c>
      <c r="E143" s="914"/>
      <c r="F143" s="1"/>
      <c r="H143" s="1237"/>
      <c r="I143" s="1237"/>
    </row>
    <row r="144" spans="1:12" ht="28.2" customHeight="1" x14ac:dyDescent="0.3">
      <c r="A144" s="147" t="s">
        <v>424</v>
      </c>
      <c r="B144" s="144">
        <v>4.3999999999999997E-2</v>
      </c>
      <c r="C144" s="144">
        <v>3.2000000000000001E-2</v>
      </c>
      <c r="D144" s="145">
        <v>0.09</v>
      </c>
      <c r="E144" s="914"/>
      <c r="F144" s="1"/>
      <c r="H144" s="1237"/>
      <c r="I144" s="1237"/>
    </row>
    <row r="147" spans="1:5" s="11" customFormat="1" ht="19.8" x14ac:dyDescent="0.7">
      <c r="B147" s="12" t="s">
        <v>430</v>
      </c>
    </row>
    <row r="150" spans="1:5" x14ac:dyDescent="0.3">
      <c r="A150" s="1134" t="s">
        <v>36</v>
      </c>
      <c r="B150" s="1243" t="s">
        <v>552</v>
      </c>
      <c r="C150" s="1138" t="s">
        <v>48</v>
      </c>
      <c r="D150" s="1139"/>
      <c r="E150" s="1140"/>
    </row>
    <row r="151" spans="1:5" ht="19.8" x14ac:dyDescent="0.3">
      <c r="A151" s="1135"/>
      <c r="B151" s="1244"/>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34" t="s">
        <v>36</v>
      </c>
      <c r="B189" s="1245" t="s">
        <v>432</v>
      </c>
      <c r="C189" s="1138" t="s">
        <v>48</v>
      </c>
      <c r="D189" s="1139"/>
      <c r="E189" s="1140"/>
    </row>
    <row r="190" spans="1:5" ht="19.8" x14ac:dyDescent="0.3">
      <c r="A190" s="1135"/>
      <c r="B190" s="1246"/>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H142:I142"/>
    <mergeCell ref="A150:A151"/>
    <mergeCell ref="B150:B151"/>
    <mergeCell ref="C150:E150"/>
    <mergeCell ref="A189:A190"/>
    <mergeCell ref="B189:B190"/>
    <mergeCell ref="C189:E189"/>
    <mergeCell ref="H143:I143"/>
    <mergeCell ref="H144:I144"/>
    <mergeCell ref="N31:N32"/>
    <mergeCell ref="A33:A40"/>
    <mergeCell ref="A41:A46"/>
    <mergeCell ref="A31:A32"/>
    <mergeCell ref="B31:B32"/>
    <mergeCell ref="C31:C32"/>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A25" zoomScale="70" zoomScaleNormal="70" workbookViewId="0">
      <selection activeCell="D33" sqref="D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00" t="str">
        <f>IF(Triagem!C34="","Não indicou na TRIAGEM se esta folha se adequa ao projeto",IF(Triagem!C34="Não","Não necessita de preencher esta folha","Folha a ser preenchida"))</f>
        <v>Não indicou na TRIAGEM se esta folha se adequa ao projeto</v>
      </c>
      <c r="E9" s="1100"/>
      <c r="F9" s="1100"/>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55" t="s">
        <v>1575</v>
      </c>
      <c r="D17" s="1255"/>
      <c r="E17" s="1255"/>
      <c r="F17" s="1255"/>
      <c r="G17" s="1255"/>
      <c r="H17" s="1255"/>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c r="C33" s="194"/>
      <c r="D33" s="342"/>
      <c r="E33" s="981" t="str">
        <f>IFERROR(VLOOKUP(B33,FAEE!$G$19:$L$21,6,FALSE),"")</f>
        <v/>
      </c>
      <c r="F33" s="981" t="str">
        <f>IFERROR(IF(D33="","",D33*E33),"")</f>
        <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0</v>
      </c>
      <c r="E133" s="1009"/>
      <c r="F133" s="1010">
        <f>SUM(F33:F132)</f>
        <v>0</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51" t="s">
        <v>268</v>
      </c>
      <c r="C141" s="1251"/>
      <c r="D141" s="1251"/>
      <c r="E141" s="1251"/>
      <c r="F141" s="1251"/>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52" t="s">
        <v>267</v>
      </c>
      <c r="C144" s="1252"/>
      <c r="D144" s="1252"/>
      <c r="E144" s="1252"/>
      <c r="F144" s="1252"/>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58" t="s">
        <v>612</v>
      </c>
      <c r="C147" s="1155" t="s">
        <v>1009</v>
      </c>
      <c r="D147" s="1076" t="s">
        <v>1010</v>
      </c>
      <c r="E147" s="1076" t="s">
        <v>1253</v>
      </c>
      <c r="F147" s="1076" t="s">
        <v>1022</v>
      </c>
      <c r="G147" s="1076"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59"/>
      <c r="C148" s="1156"/>
      <c r="D148" s="1077"/>
      <c r="E148" s="1077"/>
      <c r="F148" s="1077"/>
      <c r="G148" s="1077"/>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60"/>
      <c r="C149" s="1157"/>
      <c r="D149" s="1078"/>
      <c r="E149" s="1078"/>
      <c r="F149" s="1078"/>
      <c r="G149" s="1078"/>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47"/>
      <c r="C257" s="1247"/>
      <c r="D257" s="1247"/>
      <c r="E257" s="1256" t="s">
        <v>1116</v>
      </c>
      <c r="F257" s="1256"/>
      <c r="G257" s="1158"/>
      <c r="I257" s="205"/>
      <c r="J257" s="205"/>
    </row>
    <row r="258" spans="2:10" ht="21.45" customHeight="1" x14ac:dyDescent="0.3">
      <c r="B258" s="1247"/>
      <c r="C258" s="1247"/>
      <c r="D258" s="1247"/>
      <c r="E258" s="282" t="str">
        <f>FAEE!B14</f>
        <v>Construção ou fase preparatória</v>
      </c>
      <c r="F258" s="283" t="str">
        <f>FAEE!B15</f>
        <v>Exploração</v>
      </c>
      <c r="G258" s="326" t="str">
        <f>FAEE!B16</f>
        <v>Desativação</v>
      </c>
      <c r="I258" s="327"/>
      <c r="J258" s="327"/>
    </row>
    <row r="259" spans="2:10" x14ac:dyDescent="0.3">
      <c r="B259" s="1114" t="s">
        <v>1527</v>
      </c>
      <c r="C259" s="1114"/>
      <c r="D259" s="1114"/>
      <c r="E259" s="850">
        <f>E260+E262</f>
        <v>0</v>
      </c>
      <c r="F259" s="850">
        <f>F260+F262</f>
        <v>0</v>
      </c>
      <c r="G259" s="850">
        <f t="shared" ref="G259" si="6">G260+G262</f>
        <v>0</v>
      </c>
      <c r="I259" s="171"/>
      <c r="J259" s="171"/>
    </row>
    <row r="260" spans="2:10" x14ac:dyDescent="0.3">
      <c r="B260" s="1253" t="s">
        <v>1211</v>
      </c>
      <c r="C260" s="1254"/>
      <c r="D260" s="1254"/>
      <c r="E260" s="824">
        <f>SUMIF($B$33:$B$132,E$258,$F$33:$F$132)+E261</f>
        <v>0</v>
      </c>
      <c r="F260" s="824">
        <f t="shared" ref="F260:G260" si="7">SUMIF($B$33:$B$132,F$258,$F$33:$F$132)+F261</f>
        <v>0</v>
      </c>
      <c r="G260" s="824">
        <f t="shared" si="7"/>
        <v>0</v>
      </c>
      <c r="I260" s="328"/>
      <c r="J260" s="328"/>
    </row>
    <row r="261" spans="2:10" s="248" customFormat="1" x14ac:dyDescent="0.3">
      <c r="B261" s="1118" t="s">
        <v>1213</v>
      </c>
      <c r="C261" s="1119"/>
      <c r="D261" s="1119"/>
      <c r="E261" s="826">
        <f>'Combustão Móvel'!E561</f>
        <v>0</v>
      </c>
      <c r="F261" s="826">
        <f>'Combustão Móvel'!F561</f>
        <v>0</v>
      </c>
      <c r="G261" s="826">
        <f>'Combustão Móvel'!G561</f>
        <v>0</v>
      </c>
    </row>
    <row r="262" spans="2:10" x14ac:dyDescent="0.3">
      <c r="B262" s="1249" t="s">
        <v>1210</v>
      </c>
      <c r="C262" s="1250"/>
      <c r="D262" s="1250"/>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10" t="s">
        <v>1209</v>
      </c>
      <c r="F264" s="1081"/>
      <c r="G264" s="1081"/>
      <c r="H264" s="1081"/>
    </row>
    <row r="265" spans="2:10" x14ac:dyDescent="0.3">
      <c r="E265" s="282" t="str">
        <f>E258</f>
        <v>Construção ou fase preparatória</v>
      </c>
      <c r="F265" s="283" t="s">
        <v>37</v>
      </c>
      <c r="G265" s="326" t="s">
        <v>264</v>
      </c>
      <c r="H265" s="329" t="s">
        <v>41</v>
      </c>
    </row>
    <row r="266" spans="2:10" x14ac:dyDescent="0.3">
      <c r="B266" s="1114" t="str">
        <f>B259</f>
        <v xml:space="preserve">Emissões de GEE elétricas e térmicas adquiridas </v>
      </c>
      <c r="C266" s="1114"/>
      <c r="D266" s="1114"/>
      <c r="E266" s="850">
        <f>E267+E269</f>
        <v>0</v>
      </c>
      <c r="F266" s="850">
        <f t="shared" ref="F266:G266" si="9">F267+F269</f>
        <v>0</v>
      </c>
      <c r="G266" s="850">
        <f t="shared" si="9"/>
        <v>0</v>
      </c>
      <c r="H266" s="851">
        <f>SUM(E266:G266)</f>
        <v>0</v>
      </c>
    </row>
    <row r="267" spans="2:10" x14ac:dyDescent="0.3">
      <c r="B267" s="1114" t="str">
        <f t="shared" ref="B267:B269" si="10">B260</f>
        <v>Emissões de eletricidade adquirida</v>
      </c>
      <c r="C267" s="1114"/>
      <c r="D267" s="1114"/>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0</v>
      </c>
      <c r="G267" s="824">
        <f>IF(VLOOKUP(G$265,'Dados gerais'!$D$33:$F$35,3,FALSE)="",VLOOKUP('Energia Elétrica e térmica'!G$265,'Fatores de Emissão'!$B$12:$E$14,3,FALSE)*G260,VLOOKUP(G$265,'Dados gerais'!$D$33:$F$35,3,FALSE)*G260)</f>
        <v>0</v>
      </c>
      <c r="H267" s="852">
        <f t="shared" ref="H267:H269" si="11">SUM(E267:G267)</f>
        <v>0</v>
      </c>
    </row>
    <row r="268" spans="2:10" s="248" customFormat="1" x14ac:dyDescent="0.3">
      <c r="B268" s="1248" t="str">
        <f t="shared" si="10"/>
        <v xml:space="preserve">               Fração proveniente do transporte em ferrovia relatado em combustão móvel</v>
      </c>
      <c r="C268" s="1248"/>
      <c r="D268" s="1248"/>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14" t="str">
        <f t="shared" si="10"/>
        <v>Emissões de energia térmica adquirida</v>
      </c>
      <c r="C269" s="1114"/>
      <c r="D269" s="1114"/>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 ref="B257:D258"/>
    <mergeCell ref="B269:D269"/>
    <mergeCell ref="E264:H264"/>
    <mergeCell ref="B268:D268"/>
    <mergeCell ref="G147:G14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2027</v>
      </c>
      <c r="D14" s="6">
        <f>'Dados gerais'!F33</f>
        <v>2.6666666666666665</v>
      </c>
    </row>
    <row r="15" spans="2:4" ht="19.8" x14ac:dyDescent="0.3">
      <c r="B15" s="14" t="str">
        <f>'Fatores de Emissão'!B13</f>
        <v>Exploração</v>
      </c>
      <c r="C15" s="6">
        <f>'Dados gerais'!E34</f>
        <v>2029.6666666666667</v>
      </c>
      <c r="D15" s="6">
        <f>'Dados gerais'!F34</f>
        <v>40</v>
      </c>
    </row>
    <row r="16" spans="2:4" ht="19.8" x14ac:dyDescent="0.3">
      <c r="B16" s="15" t="str">
        <f>'Fatores de Emissão'!B14</f>
        <v>Desativação</v>
      </c>
      <c r="C16" s="6">
        <f>'Dados gerais'!E35</f>
        <v>0</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2027</v>
      </c>
      <c r="I19" s="22">
        <f>IF(D14="", 'Fatores de Emissão'!E12+C14,D14+C14)</f>
        <v>2029.6666666666667</v>
      </c>
      <c r="J19" s="137">
        <f>IF(H19&gt;$B$47,$E$47,VLOOKUP(H19,$B$19:$E$47,4,FALSE))</f>
        <v>3.1625672065538998E-2</v>
      </c>
      <c r="K19" s="137" t="e">
        <f>IF(I19&gt;$B$47,$E$47,VLOOKUP(I19,$B$19:$E$47,4,FALSE))</f>
        <v>#N/A</v>
      </c>
      <c r="L19" s="137" t="e">
        <f>(J19+K19)/2</f>
        <v>#N/A</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2029.6666666666667</v>
      </c>
      <c r="I20" s="22">
        <f>IF(D15="", 'Fatores de Emissão'!E13+C15,D15+C15)</f>
        <v>2069.666666666667</v>
      </c>
      <c r="J20" s="137" t="e">
        <f t="shared" ref="J20:J21" si="2">IF(H20&gt;$B$47,$E$47,VLOOKUP(H20,$B$19:$E$47,4,FALSE))</f>
        <v>#N/A</v>
      </c>
      <c r="K20" s="137">
        <f t="shared" ref="K20:K21" si="3">IF(I20&gt;$B$47,$E$47,VLOOKUP(I20,$B$19:$E$47,4,FALSE))</f>
        <v>1.9287953057302389E-2</v>
      </c>
      <c r="L20" s="137" t="e">
        <f t="shared" ref="L20:L21" si="4">(J20+K20)/2</f>
        <v>#N/A</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0</v>
      </c>
      <c r="I21" s="22">
        <f>IF(D16="", 'Fatores de Emissão'!E14+C16,D16+C16)</f>
        <v>0</v>
      </c>
      <c r="J21" s="137" t="e">
        <f t="shared" si="2"/>
        <v>#N/A</v>
      </c>
      <c r="K21" s="137" t="e">
        <f t="shared" si="3"/>
        <v>#N/A</v>
      </c>
      <c r="L21" s="137" t="e">
        <f t="shared" si="4"/>
        <v>#N/A</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f>'Energia Elétrica e térmica'!B33</f>
        <v>0</v>
      </c>
      <c r="C54" s="39" t="str">
        <f>'Energia Elétrica e térmica'!F33</f>
        <v/>
      </c>
      <c r="D54" s="5">
        <f>IF(B54=$D$53,C54,0)</f>
        <v>0</v>
      </c>
      <c r="E54" s="5">
        <f>IF(B54=$E$53,C54,0)</f>
        <v>0</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0</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57"/>
      <c r="C163" s="1257"/>
      <c r="D163" s="1257"/>
      <c r="E163" s="1258" t="s">
        <v>623</v>
      </c>
      <c r="F163" s="1258"/>
      <c r="G163" s="1258"/>
      <c r="H163" s="1258" t="s">
        <v>624</v>
      </c>
      <c r="I163" s="1258"/>
      <c r="J163" s="1258"/>
    </row>
    <row r="164" spans="2:10" ht="19.8" x14ac:dyDescent="0.3">
      <c r="B164" s="1257"/>
      <c r="C164" s="1257"/>
      <c r="D164" s="1257"/>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58" t="s">
        <v>546</v>
      </c>
      <c r="C165" s="1258"/>
      <c r="D165" s="1258"/>
      <c r="E165" s="80">
        <f>D154</f>
        <v>0</v>
      </c>
      <c r="F165" s="80">
        <f>E154</f>
        <v>0</v>
      </c>
      <c r="G165" s="80">
        <f>F154</f>
        <v>0</v>
      </c>
      <c r="H165" s="80">
        <f>M154</f>
        <v>0</v>
      </c>
      <c r="I165" s="80">
        <f>N154</f>
        <v>0</v>
      </c>
      <c r="J165" s="80">
        <f>O154</f>
        <v>0</v>
      </c>
    </row>
    <row r="166" spans="2:10" ht="19.8" x14ac:dyDescent="0.3">
      <c r="B166" s="1188" t="s">
        <v>547</v>
      </c>
      <c r="C166" s="1189"/>
      <c r="D166" s="1189"/>
      <c r="E166" s="81"/>
      <c r="F166" s="78">
        <f>SUM(E165:G165)</f>
        <v>0</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topLeftCell="A7"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37" t="s">
        <v>1559</v>
      </c>
      <c r="C11" s="1037"/>
      <c r="D11" s="1037"/>
      <c r="E11" s="1037"/>
      <c r="F11" s="1037"/>
      <c r="G11" s="1037"/>
      <c r="H11" s="1037"/>
      <c r="I11" s="1037"/>
      <c r="J11" s="1037"/>
      <c r="K11" s="1037"/>
      <c r="L11" s="1037"/>
      <c r="M11" s="1037"/>
      <c r="N11" s="1037"/>
      <c r="O11" s="1037"/>
      <c r="P11" s="1037"/>
      <c r="Q11" s="1037"/>
      <c r="R11" s="1037"/>
      <c r="S11" s="1037"/>
      <c r="T11" s="1037"/>
      <c r="U11" s="1037"/>
      <c r="V11" s="1037"/>
    </row>
    <row r="12" spans="2:22" ht="12" customHeight="1" x14ac:dyDescent="0.35">
      <c r="B12" s="1037"/>
      <c r="C12" s="1037"/>
      <c r="D12" s="1037"/>
      <c r="E12" s="1037"/>
      <c r="F12" s="1037"/>
      <c r="G12" s="1037"/>
      <c r="H12" s="1037"/>
      <c r="I12" s="1037"/>
      <c r="J12" s="1037"/>
      <c r="K12" s="1037"/>
      <c r="L12" s="1037"/>
      <c r="M12" s="1037"/>
      <c r="N12" s="1037"/>
      <c r="O12" s="1037"/>
      <c r="P12" s="1037"/>
      <c r="Q12" s="1037"/>
      <c r="R12" s="1037"/>
      <c r="S12" s="1037"/>
      <c r="T12" s="1037"/>
      <c r="U12" s="1037"/>
      <c r="V12" s="1037"/>
    </row>
    <row r="13" spans="2:22" x14ac:dyDescent="0.35">
      <c r="B13" s="1037"/>
      <c r="C13" s="1037"/>
      <c r="D13" s="1037"/>
      <c r="E13" s="1037"/>
      <c r="F13" s="1037"/>
      <c r="G13" s="1037"/>
      <c r="H13" s="1037"/>
      <c r="I13" s="1037"/>
      <c r="J13" s="1037"/>
      <c r="K13" s="1037"/>
      <c r="L13" s="1037"/>
      <c r="M13" s="1037"/>
      <c r="N13" s="1037"/>
      <c r="O13" s="1037"/>
      <c r="P13" s="1037"/>
      <c r="Q13" s="1037"/>
      <c r="R13" s="1037"/>
      <c r="S13" s="1037"/>
      <c r="T13" s="1037"/>
      <c r="U13" s="1037"/>
      <c r="V13" s="1037"/>
    </row>
    <row r="14" spans="2:22" x14ac:dyDescent="0.35">
      <c r="B14" s="1037"/>
      <c r="C14" s="1037"/>
      <c r="D14" s="1037"/>
      <c r="E14" s="1037"/>
      <c r="F14" s="1037"/>
      <c r="G14" s="1037"/>
      <c r="H14" s="1037"/>
      <c r="I14" s="1037"/>
      <c r="J14" s="1037"/>
      <c r="K14" s="1037"/>
      <c r="L14" s="1037"/>
      <c r="M14" s="1037"/>
      <c r="N14" s="1037"/>
      <c r="O14" s="1037"/>
      <c r="P14" s="1037"/>
      <c r="Q14" s="1037"/>
      <c r="R14" s="1037"/>
      <c r="S14" s="1037"/>
      <c r="T14" s="1037"/>
      <c r="U14" s="1037"/>
      <c r="V14" s="1037"/>
    </row>
    <row r="15" spans="2:22" ht="5.4" customHeight="1" x14ac:dyDescent="0.35">
      <c r="B15" s="1037"/>
      <c r="C15" s="1037"/>
      <c r="D15" s="1037"/>
      <c r="E15" s="1037"/>
      <c r="F15" s="1037"/>
      <c r="G15" s="1037"/>
      <c r="H15" s="1037"/>
      <c r="I15" s="1037"/>
      <c r="J15" s="1037"/>
      <c r="K15" s="1037"/>
      <c r="L15" s="1037"/>
      <c r="M15" s="1037"/>
      <c r="N15" s="1037"/>
      <c r="O15" s="1037"/>
      <c r="P15" s="1037"/>
      <c r="Q15" s="1037"/>
      <c r="R15" s="1037"/>
      <c r="S15" s="1037"/>
      <c r="T15" s="1037"/>
      <c r="U15" s="1037"/>
      <c r="V15" s="1037"/>
    </row>
    <row r="16" spans="2:22" ht="4.2" customHeight="1" x14ac:dyDescent="0.35">
      <c r="B16" s="1037"/>
      <c r="C16" s="1037"/>
      <c r="D16" s="1037"/>
      <c r="E16" s="1037"/>
      <c r="F16" s="1037"/>
      <c r="G16" s="1037"/>
      <c r="H16" s="1037"/>
      <c r="I16" s="1037"/>
      <c r="J16" s="1037"/>
      <c r="K16" s="1037"/>
      <c r="L16" s="1037"/>
      <c r="M16" s="1037"/>
      <c r="N16" s="1037"/>
      <c r="O16" s="1037"/>
      <c r="P16" s="1037"/>
      <c r="Q16" s="1037"/>
      <c r="R16" s="1037"/>
      <c r="S16" s="1037"/>
      <c r="T16" s="1037"/>
      <c r="U16" s="1037"/>
      <c r="V16" s="1037"/>
    </row>
    <row r="17" spans="2:22" hidden="1" x14ac:dyDescent="0.35">
      <c r="B17" s="1037"/>
      <c r="C17" s="1037"/>
      <c r="D17" s="1037"/>
      <c r="E17" s="1037"/>
      <c r="F17" s="1037"/>
      <c r="G17" s="1037"/>
      <c r="H17" s="1037"/>
      <c r="I17" s="1037"/>
      <c r="J17" s="1037"/>
      <c r="K17" s="1037"/>
      <c r="L17" s="1037"/>
      <c r="M17" s="1037"/>
      <c r="N17" s="1037"/>
      <c r="O17" s="1037"/>
      <c r="P17" s="1037"/>
      <c r="Q17" s="1037"/>
      <c r="R17" s="1037"/>
      <c r="S17" s="1037"/>
      <c r="T17" s="1037"/>
      <c r="U17" s="1037"/>
      <c r="V17" s="1037"/>
    </row>
    <row r="18" spans="2:22" ht="6.6" customHeight="1" x14ac:dyDescent="0.35">
      <c r="B18" s="1037"/>
      <c r="C18" s="1037"/>
      <c r="D18" s="1037"/>
      <c r="E18" s="1037"/>
      <c r="F18" s="1037"/>
      <c r="G18" s="1037"/>
      <c r="H18" s="1037"/>
      <c r="I18" s="1037"/>
      <c r="J18" s="1037"/>
      <c r="K18" s="1037"/>
      <c r="L18" s="1037"/>
      <c r="M18" s="1037"/>
      <c r="N18" s="1037"/>
      <c r="O18" s="1037"/>
      <c r="P18" s="1037"/>
      <c r="Q18" s="1037"/>
      <c r="R18" s="1037"/>
      <c r="S18" s="1037"/>
      <c r="T18" s="1037"/>
      <c r="U18" s="1037"/>
      <c r="V18" s="1037"/>
    </row>
    <row r="19" spans="2:22" ht="2.4" customHeight="1" x14ac:dyDescent="0.35">
      <c r="B19" s="1037"/>
      <c r="C19" s="1037"/>
      <c r="D19" s="1037"/>
      <c r="E19" s="1037"/>
      <c r="F19" s="1037"/>
      <c r="G19" s="1037"/>
      <c r="H19" s="1037"/>
      <c r="I19" s="1037"/>
      <c r="J19" s="1037"/>
      <c r="K19" s="1037"/>
      <c r="L19" s="1037"/>
      <c r="M19" s="1037"/>
      <c r="N19" s="1037"/>
      <c r="O19" s="1037"/>
      <c r="P19" s="1037"/>
      <c r="Q19" s="1037"/>
      <c r="R19" s="1037"/>
      <c r="S19" s="1037"/>
      <c r="T19" s="1037"/>
      <c r="U19" s="1037"/>
      <c r="V19" s="1037"/>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39" t="s">
        <v>1324</v>
      </c>
      <c r="C25" s="1039"/>
      <c r="D25" s="1039"/>
      <c r="E25" s="1039"/>
      <c r="F25" s="1039"/>
      <c r="G25" s="1039"/>
      <c r="H25" s="1039"/>
      <c r="I25" s="1039"/>
      <c r="J25" s="1039"/>
      <c r="K25" s="1039"/>
      <c r="L25" s="1039"/>
      <c r="M25" s="1039"/>
      <c r="N25" s="1039"/>
      <c r="O25" s="1039"/>
      <c r="P25" s="1039"/>
      <c r="Q25" s="1039"/>
      <c r="R25" s="1039"/>
      <c r="S25" s="1039"/>
      <c r="T25" s="1039"/>
      <c r="U25" s="1039"/>
      <c r="V25" s="1039"/>
    </row>
    <row r="26" spans="2:22" ht="20.399999999999999" customHeight="1" x14ac:dyDescent="0.35">
      <c r="B26" s="1038" t="s">
        <v>1449</v>
      </c>
      <c r="C26" s="1038"/>
      <c r="D26" s="1038"/>
      <c r="E26" s="1038"/>
      <c r="F26" s="1038"/>
      <c r="G26" s="1038"/>
      <c r="H26" s="1038"/>
      <c r="I26" s="1038"/>
      <c r="J26" s="1038"/>
      <c r="K26" s="1038"/>
      <c r="L26" s="1038"/>
      <c r="M26" s="1038"/>
      <c r="N26" s="1038"/>
      <c r="O26" s="1038"/>
      <c r="P26" s="1038"/>
      <c r="Q26" s="1038"/>
      <c r="R26" s="1038"/>
      <c r="S26" s="1038"/>
      <c r="T26" s="1038"/>
      <c r="U26" s="1038"/>
      <c r="V26" s="1038"/>
    </row>
    <row r="27" spans="2:22" ht="21" customHeight="1" x14ac:dyDescent="0.35">
      <c r="B27" s="1041" t="s">
        <v>1450</v>
      </c>
      <c r="C27" s="1041"/>
      <c r="D27" s="1041"/>
      <c r="E27" s="1041"/>
      <c r="F27" s="1041"/>
      <c r="G27" s="1041"/>
      <c r="H27" s="1041"/>
      <c r="I27" s="1041"/>
      <c r="J27" s="1041"/>
      <c r="K27" s="1041"/>
      <c r="L27" s="1041"/>
      <c r="M27" s="1041"/>
      <c r="N27" s="1041"/>
      <c r="O27" s="1041"/>
      <c r="P27" s="1041"/>
      <c r="Q27" s="1041"/>
      <c r="R27" s="1041"/>
      <c r="S27" s="1041"/>
      <c r="T27" s="1041"/>
      <c r="U27" s="1041"/>
      <c r="V27" s="1041"/>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40"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40"/>
      <c r="D31" s="1040"/>
      <c r="E31" s="1040"/>
      <c r="F31" s="1040"/>
      <c r="G31" s="1040"/>
      <c r="H31" s="1040"/>
      <c r="I31" s="1040"/>
      <c r="J31" s="1040"/>
      <c r="K31" s="1040"/>
      <c r="L31" s="1040"/>
      <c r="M31" s="1040"/>
      <c r="N31" s="1040"/>
      <c r="O31" s="1040"/>
      <c r="P31" s="1040"/>
      <c r="Q31" s="1040"/>
      <c r="R31" s="1040"/>
      <c r="S31" s="1040"/>
      <c r="T31" s="1040"/>
      <c r="U31" s="1040"/>
      <c r="V31" s="1040"/>
    </row>
    <row r="32" spans="2:22" ht="21" customHeight="1" x14ac:dyDescent="0.35">
      <c r="B32" s="1041"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41"/>
      <c r="D32" s="1041"/>
      <c r="E32" s="1041"/>
      <c r="F32" s="1041"/>
      <c r="G32" s="1041"/>
      <c r="H32" s="1041"/>
      <c r="I32" s="1041"/>
      <c r="J32" s="1041"/>
      <c r="K32" s="1041"/>
      <c r="L32" s="1041"/>
      <c r="M32" s="1041"/>
      <c r="N32" s="1041"/>
      <c r="O32" s="1041"/>
      <c r="P32" s="1041"/>
      <c r="Q32" s="1041"/>
      <c r="R32" s="1041"/>
      <c r="S32" s="1041"/>
      <c r="T32" s="1041"/>
      <c r="U32" s="1041"/>
      <c r="V32" s="1041"/>
    </row>
    <row r="33" spans="2:22" ht="20.399999999999999" customHeight="1" x14ac:dyDescent="0.35">
      <c r="B33" s="1039" t="s">
        <v>1451</v>
      </c>
      <c r="C33" s="1039"/>
      <c r="D33" s="1039"/>
      <c r="E33" s="1039"/>
      <c r="F33" s="1039"/>
      <c r="G33" s="1039"/>
      <c r="H33" s="1039"/>
      <c r="I33" s="1039"/>
      <c r="J33" s="1039"/>
      <c r="K33" s="1039"/>
      <c r="L33" s="1039"/>
      <c r="M33" s="1039"/>
      <c r="N33" s="1039"/>
      <c r="O33" s="1039"/>
      <c r="P33" s="1039"/>
      <c r="Q33" s="1039"/>
      <c r="R33" s="1039"/>
      <c r="S33" s="1039"/>
      <c r="T33" s="1039"/>
      <c r="U33" s="1039"/>
      <c r="V33" s="1039"/>
    </row>
    <row r="34" spans="2:22" ht="24.6" customHeight="1" x14ac:dyDescent="0.35">
      <c r="B34" s="1042" t="s">
        <v>1452</v>
      </c>
      <c r="C34" s="1042"/>
      <c r="D34" s="1042"/>
      <c r="E34" s="1042"/>
      <c r="F34" s="1042"/>
      <c r="G34" s="1042"/>
      <c r="H34" s="1042"/>
      <c r="I34" s="1042"/>
      <c r="J34" s="1042"/>
      <c r="K34" s="1042"/>
      <c r="L34" s="1042"/>
      <c r="M34" s="1042"/>
      <c r="N34" s="1042"/>
      <c r="O34" s="1042"/>
      <c r="P34" s="1042"/>
      <c r="Q34" s="1042"/>
      <c r="R34" s="1042"/>
      <c r="S34" s="1042"/>
      <c r="T34" s="1042"/>
      <c r="U34" s="1042"/>
      <c r="V34" s="1042"/>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39" t="s">
        <v>1588</v>
      </c>
      <c r="C36" s="1039"/>
      <c r="D36" s="1039"/>
      <c r="E36" s="1039"/>
      <c r="F36" s="1039"/>
      <c r="G36" s="1039"/>
      <c r="H36" s="1039"/>
      <c r="I36" s="1039"/>
      <c r="J36" s="1039"/>
      <c r="K36" s="1039"/>
      <c r="L36" s="1039"/>
      <c r="M36" s="1039"/>
      <c r="N36" s="1039"/>
      <c r="O36" s="1039"/>
      <c r="P36" s="1039"/>
      <c r="Q36" s="1039"/>
      <c r="R36" s="1039"/>
      <c r="S36" s="1039"/>
      <c r="T36" s="1039"/>
      <c r="U36" s="1039"/>
      <c r="V36" s="1039"/>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opLeftCell="B12" zoomScale="55" zoomScaleNormal="55" workbookViewId="0">
      <selection activeCell="D37" sqref="D37"/>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65" t="str">
        <f>IF(Triagem!C35="","Não indicou na TRIAGEM se esta folha se adequa ao projeto",IF(Triagem!G35="Não","Não necessita de preencher esta folha","Folha a ser preenchida"))</f>
        <v>Não indicou na TRIAGEM se esta folha se adequa ao projeto</v>
      </c>
      <c r="E9" s="1265"/>
      <c r="F9" s="1265"/>
      <c r="G9" s="1265"/>
      <c r="H9" s="1265"/>
      <c r="I9" s="1265"/>
      <c r="J9" s="1265"/>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x14ac:dyDescent="0.3">
      <c r="B30" s="454"/>
      <c r="C30" s="632"/>
      <c r="D30" s="855"/>
      <c r="E30" s="1018" t="str">
        <f>IF(C30="","",IF(C30&gt;'Fatores de Emissão'!$B$403,'Fatores de Emissão'!$F$403,VLOOKUP(C30,'Fatores de Emissão'!$B$374:$F$403,5,FALSE)))</f>
        <v/>
      </c>
      <c r="F30" s="1018" t="str">
        <f>IF(D30&lt;&gt;"",(D30*E30),"")</f>
        <v/>
      </c>
      <c r="G30" s="1031" t="str">
        <f>IFERROR(H30-C30,"")</f>
        <v/>
      </c>
      <c r="H30" s="1031" t="str">
        <f>IFERROR(MAX(VLOOKUP(B30,'Fatores de Emissão'!$B$12:$E$14,3,FALSE),'Fatores de Emissão'!$D$13),"")</f>
        <v/>
      </c>
      <c r="I30" s="1018" t="str">
        <f>IFERROR(IF(H30&gt;'Fatores de Emissão'!$B$403, (E30+'Fatores de Emissão'!$F$403)/2, (E30+VLOOKUP(H30,'Fatores de Emissão'!$B$374:$F$403,5,FALSE))/2),"")</f>
        <v/>
      </c>
      <c r="J30" s="1018" t="str">
        <f>IF(I30="","",I30*D30)</f>
        <v/>
      </c>
    </row>
    <row r="31" spans="1:28"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idden="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idden="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idden="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collapsed="1" x14ac:dyDescent="0.3">
      <c r="B130" s="278" t="s">
        <v>41</v>
      </c>
      <c r="C130" s="279"/>
      <c r="D130" s="841"/>
      <c r="E130" s="1019"/>
      <c r="F130" s="1020">
        <f>SUM(F30:F129)</f>
        <v>0</v>
      </c>
      <c r="G130" s="1261"/>
      <c r="H130" s="1262"/>
      <c r="I130" s="1263"/>
      <c r="J130" s="1020">
        <f>SUM(J30:J129)</f>
        <v>0</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03" t="s">
        <v>1578</v>
      </c>
      <c r="C138" s="1103"/>
      <c r="D138" s="1103"/>
      <c r="E138" s="1103"/>
      <c r="F138" s="1103"/>
      <c r="G138" s="1103"/>
      <c r="H138" s="1103"/>
      <c r="I138" s="1103"/>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03" t="s">
        <v>1579</v>
      </c>
      <c r="C139" s="1103"/>
      <c r="D139" s="1103"/>
      <c r="E139" s="1103"/>
      <c r="F139" s="1103"/>
      <c r="G139" s="1103"/>
      <c r="H139" s="1103"/>
      <c r="I139" s="1103"/>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64" t="s">
        <v>1580</v>
      </c>
      <c r="C140" s="1264"/>
      <c r="D140" s="1264"/>
      <c r="E140" s="1264"/>
      <c r="F140" s="1264"/>
      <c r="G140" s="1264"/>
      <c r="H140" s="1264"/>
      <c r="I140" s="1264"/>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64" t="s">
        <v>1581</v>
      </c>
      <c r="C141" s="1264"/>
      <c r="D141" s="1264"/>
      <c r="E141" s="1264"/>
      <c r="F141" s="1264"/>
      <c r="G141" s="1264"/>
      <c r="H141" s="1264"/>
      <c r="I141" s="1264"/>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x14ac:dyDescent="0.3">
      <c r="B150" s="629"/>
      <c r="C150" s="630"/>
      <c r="D150" s="629"/>
      <c r="E150" s="629"/>
      <c r="F150" s="856"/>
      <c r="G150" s="631"/>
      <c r="H150" s="856"/>
      <c r="I150" s="631"/>
      <c r="J150" s="973">
        <f>IFERROR(F150-H150,"")</f>
        <v>0</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0</v>
      </c>
      <c r="G250" s="279"/>
      <c r="H250" s="1022">
        <f>SUM(H150:H249)</f>
        <v>0</v>
      </c>
      <c r="I250" s="347"/>
      <c r="J250" s="1022">
        <f>SUM(J150:J249)</f>
        <v>0</v>
      </c>
      <c r="Q250" s="627"/>
    </row>
    <row r="251" spans="2:17" x14ac:dyDescent="0.3"/>
    <row r="252" spans="2:17" s="538" customFormat="1" ht="30" customHeight="1" x14ac:dyDescent="0.3">
      <c r="B252" s="296" t="s">
        <v>686</v>
      </c>
    </row>
    <row r="253" spans="2:17" x14ac:dyDescent="0.3"/>
    <row r="254" spans="2:17" x14ac:dyDescent="0.3">
      <c r="E254" s="1158" t="s">
        <v>36</v>
      </c>
      <c r="F254" s="1082"/>
      <c r="G254" s="1083"/>
    </row>
    <row r="255" spans="2:17" x14ac:dyDescent="0.3">
      <c r="E255" s="282" t="str">
        <f>FAEV!D9</f>
        <v>Construção ou fase preparatória</v>
      </c>
      <c r="F255" s="283" t="str">
        <f>FAEV!E9</f>
        <v>Exploração</v>
      </c>
      <c r="G255" s="208" t="str">
        <f>FAEV!F9</f>
        <v>Desativação</v>
      </c>
      <c r="H255" s="360" t="s">
        <v>41</v>
      </c>
      <c r="I255" s="628"/>
      <c r="J255" s="628"/>
    </row>
    <row r="256" spans="2:17" ht="25.95" customHeight="1" x14ac:dyDescent="0.3">
      <c r="B256" s="1259" t="s">
        <v>1259</v>
      </c>
      <c r="C256" s="1260"/>
      <c r="D256" s="1266"/>
      <c r="E256" s="857">
        <f>FAEV!D110</f>
        <v>0</v>
      </c>
      <c r="F256" s="857">
        <f>FAEV!E110</f>
        <v>0</v>
      </c>
      <c r="G256" s="857">
        <f>FAEV!F110</f>
        <v>0</v>
      </c>
      <c r="H256" s="858">
        <f>E256+F256+G256</f>
        <v>0</v>
      </c>
    </row>
    <row r="257" spans="2:8" ht="16.95" customHeight="1" x14ac:dyDescent="0.3">
      <c r="B257" s="1259" t="s">
        <v>1260</v>
      </c>
      <c r="C257" s="1260"/>
      <c r="D257" s="1260"/>
      <c r="E257" s="859"/>
      <c r="F257" s="860"/>
      <c r="G257" s="860"/>
      <c r="H257" s="861">
        <f>J250</f>
        <v>0</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38"/>
      <c r="E8" s="1139"/>
      <c r="F8" s="1140"/>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f>'Emissões Evitadas'!B30</f>
        <v>0</v>
      </c>
      <c r="C10" s="62" t="str">
        <f>'Emissões Evitadas'!J30</f>
        <v/>
      </c>
      <c r="D10" s="5">
        <f>IF($B10=$D$9,$C10,0)</f>
        <v>0</v>
      </c>
      <c r="E10" s="5">
        <f>IF($B10=$E$9,$C10,0)</f>
        <v>0</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0</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18" zoomScale="55" zoomScaleNormal="55" workbookViewId="0">
      <selection activeCell="I36" sqref="I36"/>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5" t="str">
        <f>IF(Triagem!C36="","Não indicou na TRIAGEM se esta folha se adequa ao projeto",IF(Triagem!C36="Não","Não necessita de preencher esta folha","Folha a ser preenchida"))</f>
        <v>Não indicou na TRIAGEM se esta folha se adequa ao projeto</v>
      </c>
      <c r="E8" s="1265"/>
      <c r="F8" s="1265"/>
      <c r="G8" s="1265"/>
      <c r="H8" s="1265"/>
      <c r="I8" s="1265"/>
      <c r="J8" s="1265"/>
      <c r="K8" s="375"/>
    </row>
    <row r="9" spans="2:17" x14ac:dyDescent="0.3"/>
    <row r="10" spans="2:17" x14ac:dyDescent="0.3"/>
    <row r="11" spans="2:17" ht="18" x14ac:dyDescent="0.35">
      <c r="B11" s="375" t="s">
        <v>1287</v>
      </c>
    </row>
    <row r="12" spans="2:17" x14ac:dyDescent="0.3"/>
    <row r="13" spans="2:17" ht="54" customHeight="1" x14ac:dyDescent="0.3">
      <c r="B13" s="1255" t="s">
        <v>1319</v>
      </c>
      <c r="C13" s="1255"/>
      <c r="D13" s="1255"/>
      <c r="E13" s="1255"/>
      <c r="F13" s="1255"/>
      <c r="G13" s="1255"/>
      <c r="H13" s="1255"/>
      <c r="I13" s="1255"/>
      <c r="J13" s="1255"/>
      <c r="K13" s="1255"/>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61" t="s">
        <v>1286</v>
      </c>
      <c r="C21" s="1161"/>
      <c r="D21" s="1161"/>
      <c r="E21" s="1161"/>
      <c r="F21" s="1161"/>
      <c r="G21" s="1161"/>
      <c r="H21" s="1161"/>
      <c r="I21" s="1161"/>
      <c r="J21" s="1161"/>
      <c r="K21" s="1161"/>
      <c r="L21" s="234"/>
      <c r="M21" s="234"/>
      <c r="N21" s="234"/>
      <c r="O21" s="234"/>
      <c r="P21" s="234"/>
      <c r="Q21" s="234"/>
      <c r="R21" s="232"/>
      <c r="S21" s="232"/>
      <c r="T21" s="232"/>
      <c r="U21" s="232"/>
      <c r="V21" s="232"/>
      <c r="W21" s="232"/>
      <c r="X21" s="232"/>
      <c r="Y21" s="232"/>
      <c r="Z21" s="232"/>
      <c r="AA21" s="233"/>
    </row>
    <row r="22" spans="1:27" ht="34.200000000000003" customHeight="1" x14ac:dyDescent="0.3">
      <c r="B22" s="1161" t="s">
        <v>1582</v>
      </c>
      <c r="C22" s="1161"/>
      <c r="D22" s="1161"/>
      <c r="E22" s="1161"/>
      <c r="F22" s="1161"/>
      <c r="G22" s="1161"/>
      <c r="H22" s="1161"/>
      <c r="I22" s="1161"/>
      <c r="J22" s="1161"/>
      <c r="K22" s="1161"/>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58" t="s">
        <v>1274</v>
      </c>
      <c r="C26" s="1058" t="s">
        <v>1320</v>
      </c>
      <c r="D26" s="1058" t="s">
        <v>1275</v>
      </c>
      <c r="E26" s="1159" t="s">
        <v>1283</v>
      </c>
      <c r="F26" s="1159"/>
      <c r="G26" s="1159"/>
      <c r="H26" s="1145" t="s">
        <v>1284</v>
      </c>
      <c r="I26" s="1145"/>
      <c r="J26" s="1145"/>
      <c r="K26" s="1058" t="s">
        <v>1279</v>
      </c>
    </row>
    <row r="27" spans="1:27" ht="105" customHeight="1" x14ac:dyDescent="0.3">
      <c r="B27" s="1060"/>
      <c r="C27" s="1060"/>
      <c r="D27" s="1060"/>
      <c r="E27" s="237" t="s">
        <v>784</v>
      </c>
      <c r="F27" s="237" t="s">
        <v>30</v>
      </c>
      <c r="G27" s="237" t="s">
        <v>30</v>
      </c>
      <c r="H27" s="237" t="s">
        <v>751</v>
      </c>
      <c r="I27" s="238" t="s">
        <v>1261</v>
      </c>
      <c r="J27" s="238" t="s">
        <v>936</v>
      </c>
      <c r="K27" s="1060"/>
    </row>
    <row r="28" spans="1:27" s="248" customForma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58" t="s">
        <v>612</v>
      </c>
      <c r="G135" s="1082"/>
      <c r="H135" s="1083"/>
    </row>
    <row r="136" spans="2:17" s="357" customFormat="1" ht="31.2" x14ac:dyDescent="0.3">
      <c r="F136" s="370" t="str">
        <f>'Emissões Fugitivas'!E188</f>
        <v>Construção ou fase preparatória</v>
      </c>
      <c r="G136" s="371" t="s">
        <v>37</v>
      </c>
      <c r="H136" s="372" t="s">
        <v>264</v>
      </c>
    </row>
    <row r="137" spans="2:17" ht="18" x14ac:dyDescent="0.3">
      <c r="C137" s="1158" t="s">
        <v>1280</v>
      </c>
      <c r="D137" s="1082"/>
      <c r="E137" s="1083"/>
      <c r="F137" s="825">
        <f>SUMIF($B$29:$B$128,F$136,$K$29:$K$128)</f>
        <v>0</v>
      </c>
      <c r="G137" s="825">
        <f>SUMIF($B$29:$B$128,G$136,$K$29:$K$128)</f>
        <v>0</v>
      </c>
      <c r="H137" s="825">
        <f>SUMIF($B$29:$B$128,H$136,$K$29:$K$128)</f>
        <v>0</v>
      </c>
      <c r="I137" s="285" t="s">
        <v>41</v>
      </c>
    </row>
    <row r="138" spans="2:17" ht="18" x14ac:dyDescent="0.3">
      <c r="C138" s="1158" t="s">
        <v>1281</v>
      </c>
      <c r="D138" s="1082"/>
      <c r="E138" s="1083"/>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topLeftCell="B31" zoomScale="70" zoomScaleNormal="70" workbookViewId="0">
      <selection activeCell="J39" sqref="J39"/>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5" t="str">
        <f>IF(Triagem!C37="","Não indicou na TRIAGEM se esta folha se adequa ao projeto",IF(Triagem!C37="Não","Não necessita de preencher esta folha","Folha a ser preenchida"))</f>
        <v>Não indicou na TRIAGEM se esta folha se adequa ao projeto</v>
      </c>
      <c r="E8" s="1265"/>
      <c r="F8" s="1265"/>
      <c r="G8" s="1265"/>
      <c r="H8" s="1265"/>
      <c r="I8" s="1265"/>
      <c r="J8" s="1265"/>
      <c r="K8" s="375"/>
    </row>
    <row r="9" spans="2:17" x14ac:dyDescent="0.3"/>
    <row r="10" spans="2:17" x14ac:dyDescent="0.3"/>
    <row r="11" spans="2:17" ht="18" x14ac:dyDescent="0.35">
      <c r="B11" s="375" t="s">
        <v>1310</v>
      </c>
    </row>
    <row r="12" spans="2:17" x14ac:dyDescent="0.3"/>
    <row r="13" spans="2:17" ht="51.6" customHeight="1" x14ac:dyDescent="0.3">
      <c r="B13" s="1255" t="s">
        <v>1534</v>
      </c>
      <c r="C13" s="1255"/>
      <c r="D13" s="1255"/>
      <c r="E13" s="1255"/>
      <c r="F13" s="1255"/>
      <c r="G13" s="1255"/>
      <c r="H13" s="1255"/>
      <c r="I13" s="1255"/>
      <c r="J13" s="1255"/>
      <c r="K13" s="1255"/>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61" t="s">
        <v>1585</v>
      </c>
      <c r="C20" s="1161"/>
      <c r="D20" s="1161"/>
      <c r="E20" s="1161"/>
      <c r="F20" s="1161"/>
      <c r="G20" s="1161"/>
      <c r="H20" s="1161"/>
      <c r="I20" s="1161"/>
      <c r="J20" s="1161"/>
      <c r="K20" s="1161"/>
      <c r="L20" s="343"/>
      <c r="M20" s="343"/>
      <c r="N20" s="343"/>
      <c r="O20" s="343"/>
      <c r="P20" s="343"/>
      <c r="Q20" s="234"/>
      <c r="R20" s="234"/>
      <c r="S20" s="234"/>
      <c r="T20" s="234"/>
      <c r="U20" s="234"/>
      <c r="V20" s="234"/>
      <c r="W20" s="234"/>
      <c r="X20" s="234"/>
      <c r="Y20" s="234"/>
      <c r="Z20" s="234"/>
      <c r="AA20" s="234"/>
    </row>
    <row r="21" spans="2:27" ht="15.6" customHeight="1" x14ac:dyDescent="0.3">
      <c r="B21" s="1161" t="s">
        <v>1306</v>
      </c>
      <c r="C21" s="1161"/>
      <c r="D21" s="1161"/>
      <c r="E21" s="1161"/>
      <c r="F21" s="1161"/>
      <c r="G21" s="1161"/>
      <c r="H21" s="1161"/>
      <c r="I21" s="1161"/>
      <c r="J21" s="1161"/>
      <c r="K21" s="1161"/>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67" t="s">
        <v>1307</v>
      </c>
      <c r="E23" s="1267"/>
      <c r="F23" s="1267"/>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68" t="str">
        <f>FAPr!C12</f>
        <v>Emissões do processo de tratamento do produto (efetuado por terceiros)</v>
      </c>
      <c r="E24" s="1268"/>
      <c r="F24" s="1268"/>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68" t="str">
        <f>FAPr!C13</f>
        <v>Emissões do uso do produto</v>
      </c>
      <c r="E25" s="1268"/>
      <c r="F25" s="1268"/>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68" t="str">
        <f>FAPr!C14</f>
        <v>Emissões do fim de vida do produto (i.e., emissões de GEE do tratamento e destino final)</v>
      </c>
      <c r="E26" s="1268"/>
      <c r="F26" s="1268"/>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58" t="s">
        <v>1274</v>
      </c>
      <c r="C32" s="1058" t="s">
        <v>1288</v>
      </c>
      <c r="D32" s="1058" t="s">
        <v>1289</v>
      </c>
      <c r="E32" s="1212" t="s">
        <v>1295</v>
      </c>
      <c r="F32" s="1213"/>
      <c r="G32" s="1214"/>
      <c r="H32" s="1184" t="s">
        <v>1609</v>
      </c>
      <c r="I32" s="1186"/>
      <c r="J32" s="1076" t="s">
        <v>1296</v>
      </c>
      <c r="K32" s="1058" t="s">
        <v>1297</v>
      </c>
    </row>
    <row r="33" spans="1:13" ht="42.6" customHeight="1" x14ac:dyDescent="0.3">
      <c r="B33" s="1060"/>
      <c r="C33" s="1060"/>
      <c r="D33" s="1060"/>
      <c r="E33" s="237" t="s">
        <v>784</v>
      </c>
      <c r="F33" s="237" t="s">
        <v>30</v>
      </c>
      <c r="G33" s="238" t="s">
        <v>1304</v>
      </c>
      <c r="H33" s="238" t="s">
        <v>577</v>
      </c>
      <c r="I33" s="238" t="s">
        <v>33</v>
      </c>
      <c r="J33" s="1078"/>
      <c r="K33" s="1060"/>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58" t="s">
        <v>612</v>
      </c>
      <c r="G141" s="1082"/>
      <c r="H141" s="1083"/>
    </row>
    <row r="142" spans="2:12" s="357" customFormat="1" ht="31.2" x14ac:dyDescent="0.3">
      <c r="F142" s="370" t="str">
        <f>'Emissões Fugitivas'!E188</f>
        <v>Construção ou fase preparatória</v>
      </c>
      <c r="G142" s="371" t="s">
        <v>37</v>
      </c>
      <c r="H142" s="372" t="s">
        <v>264</v>
      </c>
    </row>
    <row r="143" spans="2:12" ht="18" x14ac:dyDescent="0.3">
      <c r="C143" s="1158" t="s">
        <v>1280</v>
      </c>
      <c r="D143" s="1082"/>
      <c r="E143" s="1083"/>
      <c r="F143" s="825">
        <f>SUMIF($B$35:$B$134,F$142,$K$35:$K$134)</f>
        <v>0</v>
      </c>
      <c r="G143" s="825">
        <f>SUMIF($B$35:$B$134,G$142,$K$35:$K$134)</f>
        <v>0</v>
      </c>
      <c r="H143" s="825">
        <f>SUMIF($B$35:$B$134,H$142,$K$35:$K$134)</f>
        <v>0</v>
      </c>
      <c r="I143" s="285" t="s">
        <v>41</v>
      </c>
    </row>
    <row r="144" spans="2:12" ht="18" x14ac:dyDescent="0.3">
      <c r="C144" s="1158" t="s">
        <v>1281</v>
      </c>
      <c r="D144" s="1082"/>
      <c r="E144" s="1083"/>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F141:H141"/>
    <mergeCell ref="C143:E143"/>
    <mergeCell ref="C144:E144"/>
    <mergeCell ref="B32:B33"/>
    <mergeCell ref="D32:D33"/>
    <mergeCell ref="C32:C33"/>
    <mergeCell ref="E32:G32"/>
    <mergeCell ref="B20:K20"/>
    <mergeCell ref="B13:K13"/>
    <mergeCell ref="D8:J8"/>
    <mergeCell ref="J32:J33"/>
    <mergeCell ref="H32:I32"/>
    <mergeCell ref="K32:K33"/>
    <mergeCell ref="B21:K21"/>
    <mergeCell ref="D23:F23"/>
    <mergeCell ref="D24:F24"/>
    <mergeCell ref="D25:F25"/>
    <mergeCell ref="D26:F26"/>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34" t="s">
        <v>36</v>
      </c>
      <c r="B19" s="1134" t="s">
        <v>563</v>
      </c>
      <c r="C19" s="1134" t="str">
        <f>A9</f>
        <v>% condutor veículo</v>
      </c>
      <c r="D19" s="21" t="str">
        <f>A10</f>
        <v>% passageiro veículo</v>
      </c>
      <c r="E19" s="1134" t="str">
        <f>A11</f>
        <v>% transporte público</v>
      </c>
      <c r="F19" s="1134" t="s">
        <v>41</v>
      </c>
      <c r="G19" s="1134" t="s">
        <v>41</v>
      </c>
    </row>
    <row r="20" spans="1:7" ht="39" customHeight="1" x14ac:dyDescent="0.3">
      <c r="A20" s="1135"/>
      <c r="B20" s="1135"/>
      <c r="C20" s="1135"/>
      <c r="D20" s="82"/>
      <c r="E20" s="1135"/>
      <c r="F20" s="1135"/>
      <c r="G20" s="1135"/>
    </row>
    <row r="21" spans="1:7" ht="14.4" customHeight="1" x14ac:dyDescent="0.3">
      <c r="A21" s="1167"/>
      <c r="B21" s="1167"/>
      <c r="C21" s="1167"/>
      <c r="D21" s="70"/>
      <c r="E21" s="1167"/>
      <c r="F21" s="1167"/>
      <c r="G21" s="1167"/>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0</v>
      </c>
      <c r="C23" s="138">
        <f>$B23*B$9*$C$15*C$9</f>
        <v>0</v>
      </c>
      <c r="D23" s="138">
        <f>$B23*$C$15*C$10*B$10</f>
        <v>0</v>
      </c>
      <c r="E23" s="138">
        <f>$B23*$C$15*C$11*B$11</f>
        <v>0</v>
      </c>
      <c r="F23" s="139">
        <f>SUM(C23:E23)/1000</f>
        <v>0</v>
      </c>
      <c r="G23" s="139">
        <f>IF(VLOOKUP(A23,'Dados gerais'!$D$33:$G$35,3,FALSE)="",VLOOKUP(A23,'Fatores de Emissão'!$B$12:$E$14,3,FALSE)*F23,VLOOKUP(A23,'Dados gerais'!$D$33:$G$35,3,FALSE)*F23)</f>
        <v>0</v>
      </c>
    </row>
    <row r="24" spans="1:7" ht="17.399999999999999" x14ac:dyDescent="0.3">
      <c r="A24" s="59" t="str">
        <f>'Dados gerais'!D34</f>
        <v>Exploração</v>
      </c>
      <c r="B24" s="85">
        <f>'Dados gerais'!G34</f>
        <v>0</v>
      </c>
      <c r="C24" s="138">
        <f>$B24*$C$15*C$9*B$9</f>
        <v>0</v>
      </c>
      <c r="D24" s="138">
        <f>$B24*$C$15*C$10*B$10</f>
        <v>0</v>
      </c>
      <c r="E24" s="138">
        <f>$B24*$C$15*C$11*B$11</f>
        <v>0</v>
      </c>
      <c r="F24" s="139">
        <f>SUM(C24:E24)/1000</f>
        <v>0</v>
      </c>
      <c r="G24" s="139">
        <f>IF(VLOOKUP(A24,'Dados gerais'!$D$33:$G$35,3,FALSE)="",VLOOKUP(A24,'Fatores de Emissão'!$B$12:$E$14,3,FALSE)*F24,VLOOKUP(A24,'Dados gerais'!$D$33:$G$35,3,FALSE)*F24)</f>
        <v>0</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A45" zoomScale="55" zoomScaleNormal="55"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270" t="s">
        <v>1240</v>
      </c>
      <c r="E15" s="1271"/>
      <c r="F15" s="1272"/>
      <c r="G15" s="1270" t="s">
        <v>1241</v>
      </c>
      <c r="H15" s="1271"/>
      <c r="I15" s="1271"/>
      <c r="J15" s="1272"/>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0</v>
      </c>
      <c r="E17" s="865">
        <f>SUM(F48:F53)</f>
        <v>0</v>
      </c>
      <c r="F17" s="865">
        <f>SUM(H48:H53)</f>
        <v>0</v>
      </c>
      <c r="G17" s="865">
        <f>SUM(E48:E53)</f>
        <v>0</v>
      </c>
      <c r="H17" s="865">
        <f>SUM(G48:G53)</f>
        <v>0</v>
      </c>
      <c r="I17" s="865">
        <f>SUM(I48:I53)</f>
        <v>0</v>
      </c>
      <c r="J17" s="958">
        <f>SUM(G17:I17)</f>
        <v>0</v>
      </c>
      <c r="K17" s="350"/>
    </row>
    <row r="18" spans="3:12" x14ac:dyDescent="0.3">
      <c r="C18" s="955" t="s">
        <v>1024</v>
      </c>
      <c r="D18" s="866">
        <f>SUM(D56:D58)</f>
        <v>0</v>
      </c>
      <c r="E18" s="866">
        <f>SUM(F56:F58)</f>
        <v>0</v>
      </c>
      <c r="F18" s="866">
        <f>SUM(H56:H58)</f>
        <v>0</v>
      </c>
      <c r="G18" s="866">
        <f>SUM(E56:E58)</f>
        <v>0</v>
      </c>
      <c r="H18" s="866">
        <f>SUM(G56:G58)</f>
        <v>0</v>
      </c>
      <c r="I18" s="866">
        <f>SUM(I56:I58)</f>
        <v>0</v>
      </c>
      <c r="J18" s="958">
        <f>SUM(G18:I18)</f>
        <v>0</v>
      </c>
      <c r="K18" s="350"/>
    </row>
    <row r="19" spans="3:12" x14ac:dyDescent="0.3">
      <c r="C19" s="955" t="s">
        <v>1025</v>
      </c>
      <c r="D19" s="866">
        <f>SUM(D60:D67)</f>
        <v>0</v>
      </c>
      <c r="E19" s="866">
        <f>SUM(F60:F67)</f>
        <v>0</v>
      </c>
      <c r="F19" s="866">
        <f>SUM(H60:H67)</f>
        <v>0</v>
      </c>
      <c r="G19" s="866">
        <f>SUM(E60:E67)</f>
        <v>0</v>
      </c>
      <c r="H19" s="866">
        <f>SUM(G60:G67)</f>
        <v>0</v>
      </c>
      <c r="I19" s="866">
        <f>SUM(I60:I67)</f>
        <v>0</v>
      </c>
      <c r="J19" s="958">
        <f>SUM(G19:I19)</f>
        <v>0</v>
      </c>
      <c r="K19" s="350"/>
    </row>
    <row r="20" spans="3:12" x14ac:dyDescent="0.3">
      <c r="C20" s="349" t="s">
        <v>1026</v>
      </c>
      <c r="D20" s="867">
        <f>SUM(D17:D19)</f>
        <v>0</v>
      </c>
      <c r="E20" s="868">
        <f t="shared" ref="E20:I20" si="0">SUM(E17:E19)</f>
        <v>0</v>
      </c>
      <c r="F20" s="869">
        <f t="shared" si="0"/>
        <v>0</v>
      </c>
      <c r="G20" s="867">
        <f t="shared" si="0"/>
        <v>0</v>
      </c>
      <c r="H20" s="868">
        <f t="shared" si="0"/>
        <v>0</v>
      </c>
      <c r="I20" s="869">
        <f t="shared" si="0"/>
        <v>0</v>
      </c>
      <c r="J20" s="870">
        <f>SUM(J17:J19)</f>
        <v>0</v>
      </c>
      <c r="K20" s="350"/>
    </row>
    <row r="21" spans="3:12" x14ac:dyDescent="0.3">
      <c r="C21" s="955" t="s">
        <v>1242</v>
      </c>
      <c r="D21" s="866">
        <f>D54</f>
        <v>-737.46171392962958</v>
      </c>
      <c r="E21" s="866">
        <f>F54</f>
        <v>-2188.9895123716451</v>
      </c>
      <c r="F21" s="866">
        <f>H54</f>
        <v>0</v>
      </c>
      <c r="G21" s="866">
        <f>E54</f>
        <v>-1966.564570479012</v>
      </c>
      <c r="H21" s="866">
        <f>G54</f>
        <v>-87559.580494865804</v>
      </c>
      <c r="I21" s="866">
        <f>I54</f>
        <v>0</v>
      </c>
      <c r="J21" s="959">
        <f>SUM(G21:I21)</f>
        <v>-89526.145065344812</v>
      </c>
      <c r="K21" s="355"/>
      <c r="L21" s="304"/>
    </row>
    <row r="22" spans="3:12" x14ac:dyDescent="0.3">
      <c r="C22" s="349" t="s">
        <v>1536</v>
      </c>
      <c r="D22" s="871">
        <f>D20+D21</f>
        <v>-737.46171392962958</v>
      </c>
      <c r="E22" s="872">
        <f t="shared" ref="E22:I22" si="1">E20+E21</f>
        <v>-2188.9895123716451</v>
      </c>
      <c r="F22" s="873">
        <f t="shared" si="1"/>
        <v>0</v>
      </c>
      <c r="G22" s="871">
        <f t="shared" si="1"/>
        <v>-1966.564570479012</v>
      </c>
      <c r="H22" s="872">
        <f t="shared" si="1"/>
        <v>-87559.580494865804</v>
      </c>
      <c r="I22" s="873">
        <f t="shared" si="1"/>
        <v>0</v>
      </c>
      <c r="J22" s="870">
        <f>SUM(G22:I22)</f>
        <v>-89526.145065344812</v>
      </c>
      <c r="K22" s="355"/>
      <c r="L22" s="304"/>
    </row>
    <row r="23" spans="3:12" x14ac:dyDescent="0.3">
      <c r="C23" s="955" t="s">
        <v>1243</v>
      </c>
      <c r="D23" s="956"/>
      <c r="E23" s="956"/>
      <c r="F23" s="956"/>
      <c r="G23" s="956"/>
      <c r="H23" s="956"/>
      <c r="I23" s="956"/>
      <c r="J23" s="957">
        <f>J69</f>
        <v>0</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273" t="s">
        <v>713</v>
      </c>
      <c r="E44" s="1274"/>
      <c r="F44" s="1274"/>
      <c r="G44" s="1274"/>
      <c r="H44" s="1274"/>
      <c r="I44" s="1275"/>
      <c r="J44" s="1155" t="s">
        <v>1535</v>
      </c>
      <c r="K44" s="351"/>
      <c r="L44" s="1269"/>
    </row>
    <row r="45" spans="3:21" ht="19.95" customHeight="1" x14ac:dyDescent="0.3">
      <c r="D45" s="1273" t="str">
        <f>'Fatores de Emissão'!B12</f>
        <v>Construção ou fase preparatória</v>
      </c>
      <c r="E45" s="1275"/>
      <c r="F45" s="1273" t="str">
        <f>'Fatores de Emissão'!B13</f>
        <v>Exploração</v>
      </c>
      <c r="G45" s="1275"/>
      <c r="H45" s="1273" t="str">
        <f>'Fatores de Emissão'!B14</f>
        <v>Desativação</v>
      </c>
      <c r="I45" s="1275"/>
      <c r="J45" s="1156"/>
      <c r="K45" s="351"/>
      <c r="L45" s="1269"/>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157"/>
      <c r="K46" s="351"/>
      <c r="L46" s="1269"/>
      <c r="N46" s="259"/>
      <c r="O46" s="259"/>
      <c r="P46" s="259"/>
      <c r="Q46" s="259"/>
      <c r="R46" s="259"/>
      <c r="S46" s="259"/>
      <c r="T46" s="259"/>
      <c r="U46" s="259"/>
    </row>
    <row r="47" spans="3:21" x14ac:dyDescent="0.3">
      <c r="C47" s="591" t="s">
        <v>1246</v>
      </c>
      <c r="D47" s="593"/>
      <c r="E47" s="593"/>
      <c r="F47" s="593"/>
      <c r="G47" s="593"/>
      <c r="H47" s="593"/>
      <c r="I47" s="593"/>
      <c r="J47" s="594">
        <f>SUM(J48:J53)</f>
        <v>0</v>
      </c>
      <c r="K47" s="353" t="e">
        <f t="shared" ref="K47" si="2">J47/$J$20</f>
        <v>#DIV/0!</v>
      </c>
      <c r="L47" s="352"/>
      <c r="N47" s="259"/>
      <c r="O47" s="259"/>
      <c r="P47" s="259"/>
      <c r="Q47" s="259"/>
      <c r="R47" s="259"/>
      <c r="S47" s="259"/>
      <c r="T47" s="259"/>
      <c r="U47" s="259"/>
    </row>
    <row r="48" spans="3:21" ht="46.8" x14ac:dyDescent="0.3">
      <c r="C48" s="590" t="s">
        <v>330</v>
      </c>
      <c r="D48" s="874">
        <f>'Combustão Estacionária'!D400</f>
        <v>0</v>
      </c>
      <c r="E48" s="874">
        <f>'Combustão Estacionária'!D405</f>
        <v>0</v>
      </c>
      <c r="F48" s="874">
        <f>'Combustão Estacionária'!E400</f>
        <v>0</v>
      </c>
      <c r="G48" s="874">
        <f>'Combustão Estacionária'!E405</f>
        <v>0</v>
      </c>
      <c r="H48" s="874">
        <f>'Combustão Estacionária'!F400</f>
        <v>0</v>
      </c>
      <c r="I48" s="874">
        <f>'Combustão Estacionária'!F405</f>
        <v>0</v>
      </c>
      <c r="J48" s="875">
        <f>E48+G48+I48</f>
        <v>0</v>
      </c>
      <c r="K48" s="353" t="e">
        <f>J48/$J$20</f>
        <v>#DIV/0!</v>
      </c>
      <c r="L48" s="212" t="str">
        <f>IF(Triagem!$C$29="","ERRO: Não Indicou na TRIAGEM se este campo é relevante para si",IF(Triagem!$C$29="Sim",IF('Combustão Estacionária'!G405="", "ERRO: folha Combustão Estacionária por preencher", IF('Combustão Estacionária'!G405=0,"ERRO: folha Combustão Estacionária por preencher","")), ""))</f>
        <v>ERRO: Não Indicou na TRIAGEM se este campo é relevante para si</v>
      </c>
      <c r="N48" s="259"/>
      <c r="O48" s="259"/>
      <c r="P48" s="259"/>
      <c r="Q48" s="259"/>
      <c r="R48" s="259"/>
      <c r="S48" s="259"/>
      <c r="T48" s="259"/>
      <c r="U48" s="259"/>
    </row>
    <row r="49" spans="3:21" ht="46.8" x14ac:dyDescent="0.3">
      <c r="C49" s="590" t="s">
        <v>197</v>
      </c>
      <c r="D49" s="874">
        <f>'Combustão Móvel'!E560</f>
        <v>0</v>
      </c>
      <c r="E49" s="874">
        <f>'Combustão Móvel'!E569</f>
        <v>0</v>
      </c>
      <c r="F49" s="874">
        <f>'Combustão Móvel'!F560</f>
        <v>0</v>
      </c>
      <c r="G49" s="874">
        <f>'Combustão Móvel'!F569</f>
        <v>0</v>
      </c>
      <c r="H49" s="874">
        <f>'Combustão Móvel'!G560</f>
        <v>0</v>
      </c>
      <c r="I49" s="874">
        <f>'Combustão Móvel'!G569</f>
        <v>0</v>
      </c>
      <c r="J49" s="875">
        <f>E49+G49+I49</f>
        <v>0</v>
      </c>
      <c r="K49" s="353" t="e">
        <f t="shared" ref="K49:K69" si="3">J49/$J$20</f>
        <v>#DIV/0!</v>
      </c>
      <c r="L49" s="212" t="str">
        <f>IF(Triagem!$C$29="","ERRO: Não Indicou na TRIAGEM se este campo é relevante para si",IF(Triagem!$C$29="Sim",IF('Combustão Móvel'!$H$575="", "ERRO: folha Combustão Móvel por preencher", IF('Combustão Móvel'!$H$575=0,"ERRO: folha Combustão Móvel por preencher","")), ""))</f>
        <v>ERRO: Não Indicou na TRIAGEM se este campo é relevante para si</v>
      </c>
      <c r="N49" s="259"/>
      <c r="O49" s="259"/>
      <c r="P49" s="259"/>
      <c r="Q49" s="259"/>
      <c r="R49" s="259"/>
      <c r="S49" s="259"/>
      <c r="T49" s="259"/>
      <c r="U49" s="259"/>
    </row>
    <row r="50" spans="3:21" ht="46.8" x14ac:dyDescent="0.3">
      <c r="C50" s="590" t="s">
        <v>196</v>
      </c>
      <c r="D50" s="874">
        <f>'Emissões Fugitivas'!E189</f>
        <v>0</v>
      </c>
      <c r="E50" s="874">
        <f>'Emissões Fugitivas'!E190</f>
        <v>0</v>
      </c>
      <c r="F50" s="874">
        <f>'Emissões Fugitivas'!F189</f>
        <v>0</v>
      </c>
      <c r="G50" s="874">
        <f>'Emissões Fugitivas'!F190</f>
        <v>0</v>
      </c>
      <c r="H50" s="874">
        <f>'Emissões Fugitivas'!G189</f>
        <v>0</v>
      </c>
      <c r="I50" s="874">
        <f>'Emissões Fugitivas'!G190</f>
        <v>0</v>
      </c>
      <c r="J50" s="875">
        <f>E50+G50+I50</f>
        <v>0</v>
      </c>
      <c r="K50" s="353" t="e">
        <f t="shared" si="3"/>
        <v>#DIV/0!</v>
      </c>
      <c r="L50" s="212" t="str">
        <f>IF(Triagem!$C$31="","ERRO: Não Indicou na TRIAGEM se este campo é relevante para si",IF(Triagem!$C$31="Sim",IF('Emissões Fugitivas'!H190="", "ERRO: folha Emissões Fugitivas por preencher", IF('Emissões Fugitivas'!H190=0,"ERRO: folha Emissões Fugitivas por preencher","")), ""))</f>
        <v>ERRO: Não Indicou na TRIAGEM se este campo é relevante para si</v>
      </c>
      <c r="N50" s="259"/>
      <c r="O50" s="259"/>
      <c r="P50" s="259"/>
      <c r="Q50" s="259"/>
      <c r="R50" s="259"/>
      <c r="S50" s="259"/>
      <c r="T50" s="259"/>
      <c r="U50" s="259"/>
    </row>
    <row r="51" spans="3:21" ht="46.8"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t="e">
        <f t="shared" si="3"/>
        <v>#DIV/0!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ERRO: Não Indicou na TRIAGEM se este campo é relevante para si</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t="e">
        <f t="shared" si="3"/>
        <v>#DIV/0!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t="e">
        <f t="shared" si="3"/>
        <v>#DIV/0!</v>
      </c>
      <c r="L53" s="212" t="str">
        <f>L52</f>
        <v/>
      </c>
      <c r="N53" s="259"/>
      <c r="O53" s="259"/>
      <c r="P53" s="259"/>
      <c r="Q53" s="259"/>
      <c r="R53" s="259"/>
      <c r="S53" s="259"/>
      <c r="T53" s="259"/>
      <c r="U53" s="259"/>
    </row>
    <row r="54" spans="3:21" x14ac:dyDescent="0.3">
      <c r="C54" s="606" t="s">
        <v>1130</v>
      </c>
      <c r="D54" s="876">
        <f>'Outras emissões de processo'!F400</f>
        <v>-737.46171392962958</v>
      </c>
      <c r="E54" s="876">
        <f>'Outras emissões de processo'!F410</f>
        <v>-1966.564570479012</v>
      </c>
      <c r="F54" s="876">
        <f>'Outras emissões de processo'!G400</f>
        <v>-2188.9895123716451</v>
      </c>
      <c r="G54" s="876">
        <f>'Outras emissões de processo'!G410</f>
        <v>-87559.580494865804</v>
      </c>
      <c r="H54" s="876">
        <f>'Outras emissões de processo'!H400</f>
        <v>0</v>
      </c>
      <c r="I54" s="876">
        <f>'Outras emissões de processo'!H410</f>
        <v>0</v>
      </c>
      <c r="J54" s="877">
        <f>E54+G54+I54</f>
        <v>-89526.145065344812</v>
      </c>
      <c r="K54" s="353" t="e">
        <f t="shared" si="3"/>
        <v>#DIV/0!</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0</v>
      </c>
      <c r="K55" s="353" t="e">
        <f t="shared" si="3"/>
        <v>#DIV/0!</v>
      </c>
      <c r="L55" s="212"/>
      <c r="N55" s="259"/>
      <c r="O55" s="259"/>
      <c r="P55" s="259"/>
      <c r="Q55" s="259"/>
      <c r="R55" s="259"/>
      <c r="S55" s="259"/>
      <c r="T55" s="259"/>
      <c r="U55" s="259"/>
    </row>
    <row r="56" spans="3:21" ht="46.8" x14ac:dyDescent="0.3">
      <c r="C56" s="590" t="s">
        <v>1031</v>
      </c>
      <c r="D56" s="874">
        <f>'Energia Elétrica e térmica'!E260-'Energia Elétrica e térmica'!E261</f>
        <v>0</v>
      </c>
      <c r="E56" s="874">
        <f>'Energia Elétrica e térmica'!E267</f>
        <v>0</v>
      </c>
      <c r="F56" s="874">
        <f>'Energia Elétrica e térmica'!F260-'Energia Elétrica e térmica'!F261</f>
        <v>0</v>
      </c>
      <c r="G56" s="874">
        <f>'Energia Elétrica e térmica'!F267</f>
        <v>0</v>
      </c>
      <c r="H56" s="874">
        <f>'Energia Elétrica e térmica'!G260-'Energia Elétrica e térmica'!G261</f>
        <v>0</v>
      </c>
      <c r="I56" s="874">
        <f>'Energia Elétrica e térmica'!G267</f>
        <v>0</v>
      </c>
      <c r="J56" s="875">
        <f>E56+G56+I56</f>
        <v>0</v>
      </c>
      <c r="K56" s="353" t="e">
        <f t="shared" si="3"/>
        <v>#DIV/0!</v>
      </c>
      <c r="L56" s="212" t="str">
        <f>IF(Triagem!$C$34="","ERRO: Não Indicou na TRIAGEM se este campo é relevante para si",IF(Triagem!$C$34="Sim",IF(OR('Energia Elétrica e térmica'!H266="",'Energia Elétrica e térmica'!H266=0),"ERRO: folha Emissões de Energia Elétrica e Térmica por preencher",""),""))</f>
        <v>ERRO: Não Indicou na TRIAGEM se este campo é relevante para si</v>
      </c>
      <c r="N56" s="259"/>
      <c r="O56" s="259"/>
      <c r="P56" s="259"/>
      <c r="Q56" s="259"/>
      <c r="R56" s="259"/>
      <c r="S56" s="259"/>
      <c r="T56" s="259"/>
      <c r="U56" s="259"/>
    </row>
    <row r="57" spans="3:21" ht="46.8"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t="e">
        <f t="shared" si="3"/>
        <v>#DIV/0!</v>
      </c>
      <c r="L57" s="637" t="str">
        <f>L49</f>
        <v>ERRO: Não Indicou na TRIAGEM se este campo é relevante para si</v>
      </c>
      <c r="N57" s="259"/>
      <c r="O57" s="259"/>
      <c r="P57" s="259"/>
      <c r="Q57" s="259"/>
      <c r="R57" s="259"/>
      <c r="S57" s="259"/>
      <c r="T57" s="259"/>
      <c r="U57" s="259"/>
    </row>
    <row r="58" spans="3:21" ht="46.8"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t="e">
        <f t="shared" si="3"/>
        <v>#DIV/0!</v>
      </c>
      <c r="L58" s="637" t="str">
        <f>L56</f>
        <v>ERRO: Não Indicou na TRIAGEM se este campo é relevante para si</v>
      </c>
      <c r="N58" s="259"/>
      <c r="O58" s="259"/>
      <c r="P58" s="259"/>
      <c r="Q58" s="259"/>
      <c r="R58" s="259"/>
      <c r="S58" s="259"/>
      <c r="T58" s="259"/>
      <c r="U58" s="259"/>
    </row>
    <row r="59" spans="3:21" x14ac:dyDescent="0.3">
      <c r="C59" s="591" t="s">
        <v>628</v>
      </c>
      <c r="D59" s="878"/>
      <c r="E59" s="878"/>
      <c r="F59" s="878"/>
      <c r="G59" s="878"/>
      <c r="H59" s="878"/>
      <c r="I59" s="878"/>
      <c r="J59" s="879">
        <f>SUM(J60:J67)</f>
        <v>0</v>
      </c>
      <c r="K59" s="353" t="e">
        <f t="shared" si="3"/>
        <v>#DIV/0!</v>
      </c>
      <c r="L59" s="212"/>
      <c r="N59" s="259"/>
      <c r="O59" s="259"/>
      <c r="P59" s="259"/>
      <c r="Q59" s="259"/>
      <c r="R59" s="259"/>
      <c r="S59" s="259"/>
      <c r="T59" s="259"/>
      <c r="U59" s="259"/>
    </row>
    <row r="60" spans="3:21" ht="46.8"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t="e">
        <f t="shared" si="3"/>
        <v>#DIV/0!</v>
      </c>
      <c r="L60" s="212" t="str">
        <f>IF(Triagem!$C$36="","ERRO: Não Indicou na TRIAGEM se este campo é relevante para si",IF(Triagem!$C$36="Sim",IF(OR('Aquisição de bens e serviços'!I138="",'Aquisição de bens e serviços'!I138=0),"ERRO: folha Aquisição de Bens e Serviços por preencher",""),""))</f>
        <v>ERRO: Não Indicou na TRIAGEM se este campo é relevante para si</v>
      </c>
      <c r="N60" s="259"/>
      <c r="O60" s="259"/>
      <c r="P60" s="259"/>
      <c r="Q60" s="259"/>
      <c r="R60" s="259"/>
      <c r="S60" s="259"/>
      <c r="T60" s="259"/>
      <c r="U60" s="259"/>
    </row>
    <row r="61" spans="3:21" ht="31.2" x14ac:dyDescent="0.3">
      <c r="C61" s="589" t="s">
        <v>629</v>
      </c>
      <c r="D61" s="874">
        <f>'Combustão Estacionária'!D402</f>
        <v>0</v>
      </c>
      <c r="E61" s="874">
        <f>'Combustão Estacionária'!D407</f>
        <v>0</v>
      </c>
      <c r="F61" s="874">
        <f>'Combustão Estacionária'!E402</f>
        <v>0</v>
      </c>
      <c r="G61" s="874">
        <f>'Combustão Estacionária'!E407</f>
        <v>0</v>
      </c>
      <c r="H61" s="874">
        <f>'Combustão Estacionária'!F402</f>
        <v>0</v>
      </c>
      <c r="I61" s="874">
        <f>'Combustão Estacionária'!F407</f>
        <v>0</v>
      </c>
      <c r="J61" s="875">
        <f t="shared" si="6"/>
        <v>0</v>
      </c>
      <c r="K61" s="353" t="e">
        <f t="shared" si="3"/>
        <v>#DIV/0!</v>
      </c>
      <c r="L61" s="212"/>
      <c r="N61" s="259"/>
      <c r="O61" s="259"/>
      <c r="P61" s="259"/>
      <c r="Q61" s="259"/>
      <c r="R61" s="259"/>
      <c r="S61" s="259"/>
      <c r="T61" s="259"/>
      <c r="U61" s="259"/>
    </row>
    <row r="62" spans="3:21" ht="46.8" x14ac:dyDescent="0.3">
      <c r="C62" s="590" t="s">
        <v>739</v>
      </c>
      <c r="D62" s="874">
        <f>'Combustão Móvel'!E563</f>
        <v>0</v>
      </c>
      <c r="E62" s="874">
        <f>'Combustão Móvel'!E572</f>
        <v>0</v>
      </c>
      <c r="F62" s="874">
        <f>'Combustão Móvel'!F563</f>
        <v>0</v>
      </c>
      <c r="G62" s="874">
        <f>'Combustão Móvel'!F572</f>
        <v>0</v>
      </c>
      <c r="H62" s="874">
        <f>'Combustão Móvel'!G563</f>
        <v>0</v>
      </c>
      <c r="I62" s="874">
        <f>'Combustão Móvel'!G572</f>
        <v>0</v>
      </c>
      <c r="J62" s="875">
        <f t="shared" si="6"/>
        <v>0</v>
      </c>
      <c r="K62" s="353" t="e">
        <f t="shared" si="3"/>
        <v>#DIV/0!</v>
      </c>
      <c r="L62"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t="e">
        <f t="shared" si="3"/>
        <v>#DIV/0!</v>
      </c>
      <c r="L63" s="212" t="str">
        <f>L53</f>
        <v/>
      </c>
      <c r="N63" s="259"/>
      <c r="O63" s="259"/>
      <c r="P63" s="259"/>
      <c r="Q63" s="259"/>
      <c r="R63" s="259"/>
      <c r="S63" s="259"/>
      <c r="T63" s="259"/>
      <c r="U63" s="259"/>
    </row>
    <row r="64" spans="3:21" ht="46.8"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t="e">
        <f t="shared" si="3"/>
        <v>#DIV/0!</v>
      </c>
      <c r="L64"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row>
    <row r="65" spans="3:21" x14ac:dyDescent="0.3">
      <c r="C65" s="590" t="s">
        <v>655</v>
      </c>
      <c r="D65" s="874">
        <f>FAPCT!F23</f>
        <v>0</v>
      </c>
      <c r="E65" s="874">
        <f>FAPCT!G23</f>
        <v>0</v>
      </c>
      <c r="F65" s="874">
        <f>FAPCT!F24</f>
        <v>0</v>
      </c>
      <c r="G65" s="874">
        <f>FAPCT!G24</f>
        <v>0</v>
      </c>
      <c r="H65" s="874">
        <f>FAPCT!F25</f>
        <v>0</v>
      </c>
      <c r="I65" s="874">
        <f>FAPCT!G25</f>
        <v>0</v>
      </c>
      <c r="J65" s="875">
        <f>E65+G65+I65</f>
        <v>0</v>
      </c>
      <c r="K65" s="353" t="e">
        <f t="shared" si="3"/>
        <v>#DIV/0!</v>
      </c>
      <c r="L65" s="212"/>
      <c r="N65" s="259"/>
      <c r="O65" s="259"/>
      <c r="P65" s="259"/>
      <c r="Q65" s="259"/>
      <c r="R65" s="259"/>
      <c r="S65" s="259"/>
      <c r="T65" s="259"/>
      <c r="U65" s="259"/>
    </row>
    <row r="66" spans="3:21" ht="46.8" x14ac:dyDescent="0.3">
      <c r="C66" s="590" t="s">
        <v>740</v>
      </c>
      <c r="D66" s="874">
        <f>'Combustão Móvel'!E565</f>
        <v>0</v>
      </c>
      <c r="E66" s="874">
        <f>'Combustão Móvel'!E574</f>
        <v>0</v>
      </c>
      <c r="F66" s="874">
        <f>'Combustão Móvel'!F565</f>
        <v>0</v>
      </c>
      <c r="G66" s="874">
        <f>'Combustão Móvel'!F574</f>
        <v>0</v>
      </c>
      <c r="H66" s="874">
        <f>'Combustão Móvel'!G565</f>
        <v>0</v>
      </c>
      <c r="I66" s="874">
        <f>'Combustão Móvel'!G574</f>
        <v>0</v>
      </c>
      <c r="J66" s="875">
        <f t="shared" si="6"/>
        <v>0</v>
      </c>
      <c r="K66" s="353" t="e">
        <f t="shared" si="3"/>
        <v>#DIV/0!</v>
      </c>
      <c r="L66"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6" s="259"/>
      <c r="O66" s="259"/>
      <c r="P66" s="259"/>
      <c r="Q66" s="259"/>
      <c r="R66" s="259"/>
      <c r="S66" s="259"/>
      <c r="T66" s="259"/>
      <c r="U66" s="259"/>
    </row>
    <row r="67" spans="3:21" ht="46.8"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t="e">
        <f t="shared" si="3"/>
        <v>#DIV/0!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ERRO: Não Indicou na TRIAGEM se este campo é relevante para si</v>
      </c>
      <c r="N67" s="259"/>
      <c r="O67" s="259"/>
      <c r="P67" s="259"/>
      <c r="Q67" s="259"/>
      <c r="R67" s="259"/>
      <c r="S67" s="259"/>
      <c r="T67" s="259"/>
      <c r="U67" s="259"/>
    </row>
    <row r="68" spans="3:21" x14ac:dyDescent="0.3">
      <c r="C68" s="592" t="s">
        <v>1537</v>
      </c>
      <c r="D68" s="880">
        <f t="shared" ref="D68:I68" si="7">SUM(E48:E71)</f>
        <v>-181241.27964306128</v>
      </c>
      <c r="E68" s="880">
        <f t="shared" si="7"/>
        <v>-179274.71507258227</v>
      </c>
      <c r="F68" s="880">
        <f t="shared" si="7"/>
        <v>-177085.72556021062</v>
      </c>
      <c r="G68" s="880">
        <f t="shared" si="7"/>
        <v>-89526.145065344812</v>
      </c>
      <c r="H68" s="880">
        <f t="shared" si="7"/>
        <v>-89526.145065344812</v>
      </c>
      <c r="I68" s="880">
        <f t="shared" si="7"/>
        <v>-89526.145065344812</v>
      </c>
      <c r="J68" s="877">
        <f>J47+J55+J59</f>
        <v>0</v>
      </c>
      <c r="K68" s="353" t="e">
        <f t="shared" si="3"/>
        <v>#DIV/0!</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0</v>
      </c>
      <c r="K69" s="353" t="e">
        <f t="shared" si="3"/>
        <v>#DIV/0!</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ERRO: Não Indicou na TRIAGEM se este campo é relevante para si</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2029.6666666666667</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2069.666666666667</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2070.666666666667</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093" t="s">
        <v>3</v>
      </c>
      <c r="C28" s="1093" t="s">
        <v>437</v>
      </c>
      <c r="D28" s="1096" t="s">
        <v>30</v>
      </c>
      <c r="E28" s="1276" t="s">
        <v>438</v>
      </c>
      <c r="F28" s="1279"/>
      <c r="G28" s="1276" t="s">
        <v>439</v>
      </c>
      <c r="H28" s="1279"/>
      <c r="I28" s="1093" t="s">
        <v>439</v>
      </c>
      <c r="J28" s="1061" t="s">
        <v>440</v>
      </c>
      <c r="K28" s="1302"/>
      <c r="L28" s="1302"/>
      <c r="M28" s="1302"/>
      <c r="N28" s="1302"/>
      <c r="O28" s="1302"/>
      <c r="P28" s="1302"/>
      <c r="Q28" s="1062"/>
      <c r="R28" s="1093" t="s">
        <v>1090</v>
      </c>
      <c r="S28" s="1276" t="s">
        <v>1475</v>
      </c>
      <c r="X28" s="628"/>
      <c r="Y28" s="628"/>
      <c r="Z28" s="628"/>
    </row>
    <row r="29" spans="1:79" s="657" customFormat="1" ht="18" hidden="1" outlineLevel="1" x14ac:dyDescent="0.3">
      <c r="B29" s="1094"/>
      <c r="C29" s="1094"/>
      <c r="D29" s="1097"/>
      <c r="E29" s="1278"/>
      <c r="F29" s="1280"/>
      <c r="G29" s="1278"/>
      <c r="H29" s="1280"/>
      <c r="I29" s="1095"/>
      <c r="J29" s="1061" t="s">
        <v>1398</v>
      </c>
      <c r="K29" s="1302"/>
      <c r="L29" s="1302"/>
      <c r="M29" s="1062"/>
      <c r="N29" s="1061" t="s">
        <v>1399</v>
      </c>
      <c r="O29" s="1302"/>
      <c r="P29" s="1302"/>
      <c r="Q29" s="1062"/>
      <c r="R29" s="1094"/>
      <c r="S29" s="1277"/>
      <c r="X29" s="628"/>
      <c r="Y29" s="628"/>
      <c r="Z29" s="628"/>
    </row>
    <row r="30" spans="1:79" s="657" customFormat="1" ht="46.8" hidden="1" outlineLevel="1" x14ac:dyDescent="0.3">
      <c r="B30" s="1095"/>
      <c r="C30" s="1095"/>
      <c r="D30" s="1098"/>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095"/>
      <c r="S30" s="1278"/>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40.4"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28.4"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56"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96" t="s">
        <v>200</v>
      </c>
      <c r="C83" s="1293" t="s">
        <v>201</v>
      </c>
      <c r="D83" s="1293" t="s">
        <v>202</v>
      </c>
      <c r="E83" s="1286" t="s">
        <v>203</v>
      </c>
      <c r="F83" s="1287"/>
      <c r="G83" s="1287"/>
      <c r="H83" s="1287"/>
      <c r="I83" s="1287"/>
      <c r="J83" s="1288"/>
      <c r="K83" s="1293" t="s">
        <v>1612</v>
      </c>
    </row>
    <row r="84" spans="1:86" ht="15.75" hidden="1" customHeight="1" outlineLevel="1" x14ac:dyDescent="0.3">
      <c r="A84" s="695"/>
      <c r="B84" s="1297"/>
      <c r="C84" s="1294"/>
      <c r="D84" s="1294"/>
      <c r="E84" s="1286" t="s">
        <v>1418</v>
      </c>
      <c r="F84" s="1288"/>
      <c r="G84" s="1286" t="s">
        <v>1419</v>
      </c>
      <c r="H84" s="1288"/>
      <c r="I84" s="1286" t="s">
        <v>1420</v>
      </c>
      <c r="J84" s="1288"/>
      <c r="K84" s="1295"/>
    </row>
    <row r="85" spans="1:86" ht="15.75" hidden="1" customHeight="1" outlineLevel="1" x14ac:dyDescent="0.3">
      <c r="A85" s="698"/>
      <c r="B85" s="1298"/>
      <c r="C85" s="1295"/>
      <c r="D85" s="1295"/>
      <c r="E85" s="699" t="s">
        <v>207</v>
      </c>
      <c r="F85" s="699" t="s">
        <v>208</v>
      </c>
      <c r="G85" s="699" t="s">
        <v>207</v>
      </c>
      <c r="H85" s="699" t="s">
        <v>208</v>
      </c>
      <c r="I85" s="699" t="s">
        <v>207</v>
      </c>
      <c r="J85" s="699" t="s">
        <v>208</v>
      </c>
      <c r="K85" s="699" t="s">
        <v>1611</v>
      </c>
    </row>
    <row r="86" spans="1:86" s="171" customFormat="1" hidden="1" outlineLevel="1" x14ac:dyDescent="0.3">
      <c r="A86" s="700"/>
      <c r="B86" s="1299"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301"/>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99"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300"/>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300"/>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300"/>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t="31.2" hidden="1" outlineLevel="1" x14ac:dyDescent="0.3">
      <c r="A92" s="700"/>
      <c r="B92" s="1299"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301"/>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99"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301"/>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96" t="s">
        <v>200</v>
      </c>
      <c r="C102" s="1293" t="s">
        <v>201</v>
      </c>
      <c r="D102" s="1293" t="s">
        <v>202</v>
      </c>
      <c r="E102" s="1286" t="s">
        <v>228</v>
      </c>
      <c r="F102" s="1287"/>
      <c r="G102" s="1287"/>
      <c r="H102" s="1287"/>
      <c r="I102" s="1287"/>
      <c r="J102" s="1288"/>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97"/>
      <c r="C103" s="1294"/>
      <c r="D103" s="1294"/>
      <c r="E103" s="1286" t="s">
        <v>1418</v>
      </c>
      <c r="F103" s="1288"/>
      <c r="G103" s="1286" t="s">
        <v>1419</v>
      </c>
      <c r="H103" s="1288"/>
      <c r="I103" s="1286" t="s">
        <v>1420</v>
      </c>
      <c r="J103" s="1288"/>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8"/>
      <c r="C104" s="1295"/>
      <c r="D104" s="1295"/>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99"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300"/>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301"/>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96" t="s">
        <v>200</v>
      </c>
      <c r="C114" s="1293" t="s">
        <v>201</v>
      </c>
      <c r="D114" s="1293" t="s">
        <v>202</v>
      </c>
      <c r="E114" s="1286" t="s">
        <v>228</v>
      </c>
      <c r="F114" s="1287"/>
      <c r="G114" s="1287"/>
      <c r="H114" s="1287"/>
      <c r="I114" s="1287"/>
      <c r="J114" s="1288"/>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97"/>
      <c r="C115" s="1294"/>
      <c r="D115" s="1294"/>
      <c r="E115" s="1286" t="s">
        <v>1418</v>
      </c>
      <c r="F115" s="1288"/>
      <c r="G115" s="1286" t="s">
        <v>1419</v>
      </c>
      <c r="H115" s="1288"/>
      <c r="I115" s="1286" t="s">
        <v>1420</v>
      </c>
      <c r="J115" s="1288"/>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8"/>
      <c r="C116" s="1295"/>
      <c r="D116" s="1295"/>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99"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300"/>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300"/>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301"/>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96" t="s">
        <v>200</v>
      </c>
      <c r="C127" s="1293" t="s">
        <v>201</v>
      </c>
      <c r="D127" s="1293" t="s">
        <v>202</v>
      </c>
      <c r="E127" s="1286" t="s">
        <v>228</v>
      </c>
      <c r="F127" s="1287"/>
      <c r="G127" s="1287"/>
      <c r="H127" s="1287"/>
      <c r="I127" s="1287"/>
      <c r="J127" s="1288"/>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97"/>
      <c r="C128" s="1294"/>
      <c r="D128" s="1294"/>
      <c r="E128" s="1286" t="s">
        <v>1418</v>
      </c>
      <c r="F128" s="1288"/>
      <c r="G128" s="1286" t="s">
        <v>1419</v>
      </c>
      <c r="H128" s="1288"/>
      <c r="I128" s="1286" t="s">
        <v>1420</v>
      </c>
      <c r="J128" s="1288"/>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8"/>
      <c r="C129" s="1295"/>
      <c r="D129" s="1295"/>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99"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300"/>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301"/>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99"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300"/>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301"/>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96" t="s">
        <v>724</v>
      </c>
      <c r="C142" s="1293" t="s">
        <v>202</v>
      </c>
      <c r="D142" s="1293" t="s">
        <v>42</v>
      </c>
      <c r="E142" s="1293" t="s">
        <v>33</v>
      </c>
      <c r="F142" s="1286" t="s">
        <v>228</v>
      </c>
      <c r="G142" s="1287"/>
      <c r="H142" s="1287"/>
      <c r="I142" s="1287"/>
      <c r="J142" s="1287"/>
      <c r="K142" s="1288"/>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97"/>
      <c r="C143" s="1294"/>
      <c r="D143" s="1294"/>
      <c r="E143" s="1294"/>
      <c r="F143" s="1286" t="s">
        <v>1418</v>
      </c>
      <c r="G143" s="1288"/>
      <c r="H143" s="1286" t="s">
        <v>1419</v>
      </c>
      <c r="I143" s="1288"/>
      <c r="J143" s="1286" t="s">
        <v>1420</v>
      </c>
      <c r="K143" s="1288"/>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8"/>
      <c r="C144" s="1295"/>
      <c r="D144" s="1295"/>
      <c r="E144" s="1295"/>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99"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300"/>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300"/>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300"/>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301"/>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303"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304"/>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304"/>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304"/>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305"/>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303"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304"/>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304"/>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304"/>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305"/>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284" t="s">
        <v>774</v>
      </c>
      <c r="E165" s="1285"/>
      <c r="F165" s="1281" t="s">
        <v>772</v>
      </c>
      <c r="G165" s="1281" t="s">
        <v>771</v>
      </c>
      <c r="H165" s="1281" t="s">
        <v>776</v>
      </c>
      <c r="I165" s="1281"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282"/>
      <c r="G166" s="1282"/>
      <c r="H166" s="1282"/>
      <c r="I166" s="1282"/>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283"/>
      <c r="H167" s="736" t="s">
        <v>729</v>
      </c>
      <c r="I167" s="1283"/>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89" t="s">
        <v>166</v>
      </c>
      <c r="J248" s="778">
        <v>6226</v>
      </c>
      <c r="K248" s="1289"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290"/>
      <c r="J249" s="778">
        <v>10200</v>
      </c>
      <c r="K249" s="1290"/>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290"/>
      <c r="J250" s="778">
        <v>13900</v>
      </c>
      <c r="K250" s="1290"/>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290"/>
      <c r="J251" s="778">
        <v>5820</v>
      </c>
      <c r="K251" s="1290"/>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290"/>
      <c r="J252" s="778">
        <v>8590</v>
      </c>
      <c r="K252" s="1290"/>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291"/>
      <c r="J253" s="778">
        <v>7670</v>
      </c>
      <c r="K253" s="1290"/>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290"/>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290"/>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290"/>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290"/>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290"/>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290"/>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292" t="s">
        <v>176</v>
      </c>
      <c r="J260" s="778">
        <v>148</v>
      </c>
      <c r="K260" s="1290"/>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290"/>
      <c r="J261" s="778">
        <v>1760</v>
      </c>
      <c r="K261" s="1290"/>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290"/>
      <c r="J262" s="778">
        <v>79</v>
      </c>
      <c r="K262" s="1290"/>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290"/>
      <c r="J263" s="778">
        <v>527</v>
      </c>
      <c r="K263" s="1290"/>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290"/>
      <c r="J264" s="778">
        <v>782</v>
      </c>
      <c r="K264" s="1290"/>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290"/>
      <c r="J265" s="778">
        <v>1980</v>
      </c>
      <c r="K265" s="1290"/>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290"/>
      <c r="J266" s="778">
        <v>127</v>
      </c>
      <c r="K266" s="1290"/>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291"/>
      <c r="J267" s="778">
        <v>525</v>
      </c>
      <c r="K267" s="1291"/>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hidden="1"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hidden="1"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hidden="1"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hidden="1"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hidden="1"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hidden="1"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hidden="1"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hidden="1"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hidden="1"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hidden="1"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hidden="1"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hidden="1"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hidden="1"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hidden="1"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hidden="1"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collapsed="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B94:B95"/>
    <mergeCell ref="B92:B93"/>
    <mergeCell ref="N29:Q29"/>
    <mergeCell ref="J28:Q28"/>
    <mergeCell ref="R28:R30"/>
    <mergeCell ref="I28:I29"/>
    <mergeCell ref="K83:K84"/>
    <mergeCell ref="C142:C144"/>
    <mergeCell ref="F142:K142"/>
    <mergeCell ref="B145:B149"/>
    <mergeCell ref="B150:B154"/>
    <mergeCell ref="B155:B159"/>
    <mergeCell ref="B142:B144"/>
    <mergeCell ref="D142:D144"/>
    <mergeCell ref="E127:J127"/>
    <mergeCell ref="E128:F128"/>
    <mergeCell ref="G128:H128"/>
    <mergeCell ref="F143:G143"/>
    <mergeCell ref="J143:K143"/>
    <mergeCell ref="E142:E144"/>
    <mergeCell ref="I128:J128"/>
    <mergeCell ref="E114:J114"/>
    <mergeCell ref="E115:F115"/>
    <mergeCell ref="G115:H115"/>
    <mergeCell ref="I115:J115"/>
    <mergeCell ref="J29:M29"/>
    <mergeCell ref="B133:B135"/>
    <mergeCell ref="C127:C129"/>
    <mergeCell ref="D127:D129"/>
    <mergeCell ref="B127:B129"/>
    <mergeCell ref="B102:B104"/>
    <mergeCell ref="D102:D104"/>
    <mergeCell ref="D114:D116"/>
    <mergeCell ref="B130:B132"/>
    <mergeCell ref="B118:B121"/>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36"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06" t="s">
        <v>275</v>
      </c>
      <c r="C15" s="1307"/>
      <c r="D15" s="1307"/>
      <c r="E15" s="1308"/>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06" t="s">
        <v>288</v>
      </c>
      <c r="C21" s="1307"/>
      <c r="D21" s="1307"/>
      <c r="E21" s="1308"/>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06" t="s">
        <v>7</v>
      </c>
      <c r="C29" s="1307"/>
      <c r="D29" s="1307"/>
      <c r="E29" s="1308"/>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06" t="s">
        <v>318</v>
      </c>
      <c r="C37" s="1308"/>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06" t="s">
        <v>323</v>
      </c>
      <c r="C41" s="1308"/>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3">_xlfn._xlws.FILTER(Triagem!C29:D37,Triagem!C29:C37=FACM!$B$13,"")</f>
        <v>Sim</v>
      </c>
      <c r="B13" s="388" t="str">
        <v>Outras emissões de processo</v>
      </c>
      <c r="C13" s="386"/>
      <c r="D13" s="386"/>
    </row>
    <row r="14" spans="1:4" x14ac:dyDescent="0.35">
      <c r="A14" s="389"/>
      <c r="B14" s="388"/>
      <c r="C14" s="386"/>
      <c r="D14" s="386"/>
    </row>
    <row r="15" spans="1:4" x14ac:dyDescent="0.35">
      <c r="A15" s="389"/>
      <c r="B15" s="388"/>
      <c r="C15" s="386"/>
      <c r="D15" s="386"/>
    </row>
    <row r="16" spans="1:4" x14ac:dyDescent="0.35">
      <c r="A16" s="389"/>
      <c r="B16" s="388"/>
      <c r="C16" s="386"/>
      <c r="D16" s="386"/>
    </row>
    <row r="17" spans="1:4" x14ac:dyDescent="0.35">
      <c r="A17" s="389"/>
      <c r="B17" s="388"/>
      <c r="C17" s="386"/>
      <c r="D17" s="386"/>
    </row>
    <row r="18" spans="1:4" x14ac:dyDescent="0.35">
      <c r="A18" s="389"/>
      <c r="B18" s="388"/>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09" t="s">
        <v>1607</v>
      </c>
      <c r="D14" s="1309"/>
      <c r="E14" s="1309"/>
      <c r="F14" s="482"/>
      <c r="G14" s="482"/>
    </row>
    <row r="15" spans="2:7" ht="25.95" customHeight="1" thickTop="1" thickBot="1" x14ac:dyDescent="0.35">
      <c r="B15" s="479" t="s">
        <v>1604</v>
      </c>
      <c r="C15" s="1309" t="s">
        <v>1603</v>
      </c>
      <c r="D15" s="1309"/>
      <c r="E15" s="1309"/>
      <c r="F15" s="1309"/>
      <c r="G15" s="1309"/>
    </row>
    <row r="16" spans="2:7" ht="16.8" thickTop="1" thickBot="1" x14ac:dyDescent="0.35">
      <c r="B16" s="479" t="s">
        <v>1554</v>
      </c>
      <c r="C16" s="1309" t="s">
        <v>1436</v>
      </c>
      <c r="D16" s="1309"/>
      <c r="E16" s="1309"/>
      <c r="F16" s="483"/>
      <c r="G16" s="482"/>
    </row>
    <row r="17" spans="2:7" ht="15.6" customHeight="1" thickTop="1" thickBot="1" x14ac:dyDescent="0.35">
      <c r="B17" s="479" t="s">
        <v>1437</v>
      </c>
      <c r="C17" s="1309" t="s">
        <v>1553</v>
      </c>
      <c r="D17" s="1309"/>
      <c r="E17" s="1309"/>
      <c r="F17" s="483"/>
      <c r="G17" s="482"/>
    </row>
    <row r="18" spans="2:7" ht="15.6" customHeight="1" thickTop="1" thickBot="1" x14ac:dyDescent="0.35">
      <c r="B18" s="479" t="s">
        <v>1438</v>
      </c>
      <c r="C18" s="1309" t="s">
        <v>1439</v>
      </c>
      <c r="D18" s="1309"/>
      <c r="E18" s="1309"/>
      <c r="F18" s="483"/>
      <c r="G18" s="482"/>
    </row>
    <row r="19" spans="2:7" ht="35.25" customHeight="1" thickTop="1" x14ac:dyDescent="0.3">
      <c r="B19" s="1314" t="s">
        <v>1606</v>
      </c>
      <c r="C19" s="1314"/>
      <c r="D19" s="1314"/>
      <c r="E19" s="1314"/>
      <c r="F19" s="1314"/>
      <c r="G19" s="1314"/>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10" t="s">
        <v>1443</v>
      </c>
      <c r="E24" s="1310"/>
      <c r="F24" s="1310"/>
    </row>
    <row r="25" spans="2:7" ht="15.6" customHeight="1" x14ac:dyDescent="0.3">
      <c r="B25" s="481" t="s">
        <v>1608</v>
      </c>
      <c r="C25" s="1034">
        <v>45658</v>
      </c>
      <c r="D25" s="1311" t="s">
        <v>1629</v>
      </c>
      <c r="E25" s="1312"/>
      <c r="F25" s="1313"/>
    </row>
    <row r="26" spans="2:7" ht="15.6" customHeight="1" x14ac:dyDescent="0.3">
      <c r="B26" s="481" t="s">
        <v>1444</v>
      </c>
      <c r="C26" s="394"/>
      <c r="D26" s="1311" t="s">
        <v>52</v>
      </c>
      <c r="E26" s="1312"/>
      <c r="F26" s="1313"/>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D25:F25"/>
    <mergeCell ref="D26:F26"/>
    <mergeCell ref="B19:G19"/>
    <mergeCell ref="C15:G15"/>
    <mergeCell ref="C14:E14"/>
    <mergeCell ref="C16:E16"/>
    <mergeCell ref="C17:E17"/>
    <mergeCell ref="C18:E18"/>
    <mergeCell ref="D24:F24"/>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topLeftCell="A17" zoomScale="70" zoomScaleNormal="70" workbookViewId="0">
      <selection activeCell="C29" sqref="C29"/>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43" t="s">
        <v>538</v>
      </c>
      <c r="C9" s="1043"/>
      <c r="D9" s="1043"/>
      <c r="E9" s="1043"/>
      <c r="F9" s="395"/>
      <c r="G9" s="395"/>
      <c r="H9" s="395"/>
      <c r="I9" s="395"/>
      <c r="J9" s="395"/>
      <c r="K9" s="395"/>
    </row>
    <row r="10" spans="2:11" ht="14.4" customHeight="1" x14ac:dyDescent="0.35">
      <c r="B10" s="1043"/>
      <c r="C10" s="1043"/>
      <c r="D10" s="1043"/>
      <c r="E10" s="1043"/>
      <c r="F10" s="395"/>
      <c r="G10" s="395"/>
      <c r="H10" s="395"/>
      <c r="I10" s="395"/>
      <c r="J10" s="395"/>
      <c r="K10" s="395"/>
    </row>
    <row r="11" spans="2:11" ht="14.4" customHeight="1" x14ac:dyDescent="0.35">
      <c r="B11" s="1043"/>
      <c r="C11" s="1043"/>
      <c r="D11" s="1043"/>
      <c r="E11" s="1043"/>
      <c r="F11" s="395"/>
      <c r="G11" s="395"/>
      <c r="H11" s="395"/>
      <c r="I11" s="395"/>
      <c r="J11" s="395"/>
      <c r="K11" s="395"/>
    </row>
    <row r="12" spans="2:11" ht="14.4" customHeight="1" outlineLevel="1" x14ac:dyDescent="0.35">
      <c r="B12" s="1043"/>
      <c r="C12" s="1043"/>
      <c r="D12" s="1043"/>
      <c r="E12" s="1043"/>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46" t="s">
        <v>1327</v>
      </c>
      <c r="C14" s="1046"/>
      <c r="D14" s="397"/>
      <c r="F14" s="397"/>
      <c r="G14" s="397"/>
      <c r="H14" s="397"/>
      <c r="I14" s="397"/>
      <c r="J14" s="397"/>
      <c r="K14" s="397"/>
    </row>
    <row r="15" spans="2:11" ht="52.95" customHeight="1" outlineLevel="1" x14ac:dyDescent="0.35">
      <c r="B15" s="1046" t="s">
        <v>1328</v>
      </c>
      <c r="C15" s="1046"/>
      <c r="D15" s="397"/>
      <c r="F15" s="397"/>
      <c r="G15" s="397"/>
      <c r="H15" s="397"/>
      <c r="I15" s="397"/>
      <c r="J15" s="397"/>
      <c r="K15" s="397"/>
    </row>
    <row r="16" spans="2:11" ht="57" customHeight="1" outlineLevel="1" x14ac:dyDescent="0.35">
      <c r="B16" s="1046" t="s">
        <v>1329</v>
      </c>
      <c r="C16" s="1046"/>
      <c r="D16" s="397"/>
      <c r="F16" s="397"/>
      <c r="G16" s="397"/>
      <c r="H16" s="397"/>
      <c r="I16" s="397"/>
      <c r="J16" s="397"/>
      <c r="K16" s="397"/>
    </row>
    <row r="17" spans="2:5" ht="26.4" customHeight="1" outlineLevel="1" x14ac:dyDescent="0.35">
      <c r="B17" s="1047" t="s">
        <v>1330</v>
      </c>
      <c r="C17" s="1047"/>
    </row>
    <row r="18" spans="2:5" ht="69" customHeight="1" outlineLevel="1" x14ac:dyDescent="0.35">
      <c r="B18" s="1047" t="s">
        <v>1029</v>
      </c>
      <c r="C18" s="1047"/>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72" x14ac:dyDescent="0.35">
      <c r="B29" s="405" t="s">
        <v>684</v>
      </c>
      <c r="C29" s="406"/>
      <c r="D29" s="407" t="str">
        <f>IF(C29="Sim", "Combustão Estacionária","")</f>
        <v/>
      </c>
      <c r="E29" s="408" t="s">
        <v>1082</v>
      </c>
    </row>
    <row r="30" spans="2:5" ht="90" x14ac:dyDescent="0.35">
      <c r="B30" s="405" t="s">
        <v>1335</v>
      </c>
      <c r="C30" s="406"/>
      <c r="D30" s="408" t="str">
        <f>IF(C30="Sim", "Combustão móvel","")</f>
        <v/>
      </c>
      <c r="E30" s="408" t="s">
        <v>1083</v>
      </c>
    </row>
    <row r="31" spans="2:5" ht="72" x14ac:dyDescent="0.35">
      <c r="B31" s="405" t="s">
        <v>1353</v>
      </c>
      <c r="C31" s="406"/>
      <c r="D31" s="408" t="str">
        <f>IF(C31="Sim", "Emissões fugitivas","")</f>
        <v/>
      </c>
      <c r="E31" s="408" t="s">
        <v>1354</v>
      </c>
    </row>
    <row r="32" spans="2:5" ht="108" x14ac:dyDescent="0.35">
      <c r="B32" s="405" t="s">
        <v>1118</v>
      </c>
      <c r="C32" s="406"/>
      <c r="D32" s="408" t="str">
        <f>IF(C32="Sim", "Processos industriais","")</f>
        <v/>
      </c>
      <c r="E32" s="408" t="s">
        <v>1355</v>
      </c>
    </row>
    <row r="33" spans="2:16" ht="180" x14ac:dyDescent="0.35">
      <c r="B33" s="405" t="s">
        <v>1336</v>
      </c>
      <c r="C33" s="406" t="s">
        <v>555</v>
      </c>
      <c r="D33" s="408" t="str">
        <f>IF(C33="Sim", "Outras emissões de processo","")</f>
        <v>Outras emissões de processo</v>
      </c>
      <c r="E33" s="408" t="s">
        <v>1570</v>
      </c>
      <c r="G33" s="1044"/>
      <c r="H33" s="1044"/>
      <c r="I33" s="1044"/>
      <c r="J33" s="1044"/>
      <c r="K33" s="1044"/>
      <c r="L33" s="1044"/>
      <c r="M33" s="1044"/>
      <c r="N33" s="1044"/>
      <c r="O33" s="1044"/>
      <c r="P33" s="1044"/>
    </row>
    <row r="34" spans="2:16" ht="88.2" customHeight="1" x14ac:dyDescent="0.35">
      <c r="B34" s="409" t="s">
        <v>1015</v>
      </c>
      <c r="C34" s="406"/>
      <c r="D34" s="408" t="str">
        <f>IF(C34="Sim", "Energia elétrica e térmica","")</f>
        <v/>
      </c>
      <c r="E34" s="408" t="s">
        <v>1574</v>
      </c>
      <c r="G34" s="1045"/>
      <c r="H34" s="1045"/>
      <c r="I34" s="1045"/>
      <c r="J34" s="1045"/>
      <c r="K34" s="1045"/>
      <c r="L34" s="1045"/>
      <c r="M34" s="1045"/>
      <c r="N34" s="1045"/>
      <c r="O34" s="1045"/>
      <c r="P34" s="1045"/>
    </row>
    <row r="35" spans="2:16" ht="72" x14ac:dyDescent="0.35">
      <c r="B35" s="409" t="s">
        <v>1238</v>
      </c>
      <c r="C35" s="406"/>
      <c r="D35" s="408" t="str">
        <f>IF(C35="Sim", "Emissões evitadas","")</f>
        <v/>
      </c>
      <c r="E35" s="408" t="s">
        <v>1561</v>
      </c>
    </row>
    <row r="36" spans="2:16" ht="118.2" customHeight="1" x14ac:dyDescent="0.35">
      <c r="B36" s="409" t="s">
        <v>1334</v>
      </c>
      <c r="C36" s="406"/>
      <c r="D36" s="408" t="str">
        <f>IF(C36="Sim", "Aquisição de bens e serviços","")</f>
        <v/>
      </c>
      <c r="E36" s="408" t="s">
        <v>1337</v>
      </c>
    </row>
    <row r="37" spans="2:16" ht="90" x14ac:dyDescent="0.35">
      <c r="B37" s="409" t="s">
        <v>1316</v>
      </c>
      <c r="C37" s="406"/>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89" priority="1">
      <formula>$C29="Não"</formula>
    </cfRule>
    <cfRule type="expression" dxfId="88" priority="2">
      <formula>$C29="Sim"</formula>
    </cfRule>
    <cfRule type="expression" dxfId="87"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opLeftCell="B24" zoomScaleNormal="100" workbookViewId="0">
      <selection activeCell="F33" sqref="F3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50" t="str">
        <f>IF(Triagem!C28="", "", IF(Triagem!C28="Não", "Não necessita de preencher esta folha", "Folha a ser preenchida"))</f>
        <v>Folha a ser preenchida</v>
      </c>
      <c r="F6" s="1050"/>
      <c r="G6" s="1050"/>
      <c r="H6" s="1050"/>
      <c r="I6" s="1050"/>
      <c r="J6" s="1050"/>
      <c r="K6" s="1050"/>
      <c r="L6" s="1050"/>
      <c r="M6" s="1050"/>
      <c r="N6" s="1050"/>
      <c r="O6" s="1050"/>
    </row>
    <row r="7" spans="2:20" x14ac:dyDescent="0.3">
      <c r="E7" s="1050"/>
      <c r="F7" s="1050"/>
      <c r="G7" s="1050"/>
      <c r="H7" s="1050"/>
      <c r="I7" s="1050"/>
      <c r="J7" s="1050"/>
      <c r="K7" s="1050"/>
      <c r="L7" s="1050"/>
      <c r="M7" s="1050"/>
      <c r="N7" s="1050"/>
      <c r="O7" s="1050"/>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49" t="s">
        <v>1331</v>
      </c>
      <c r="C14" s="1049"/>
      <c r="D14" s="1049"/>
      <c r="E14" s="1049"/>
      <c r="F14" s="1049"/>
      <c r="G14" s="1049"/>
      <c r="H14" s="1049"/>
      <c r="I14" s="1049"/>
      <c r="J14" s="1049"/>
      <c r="K14" s="1049"/>
      <c r="L14" s="1049"/>
      <c r="M14" s="1049"/>
      <c r="N14" s="1049"/>
      <c r="O14" s="1049"/>
      <c r="P14" s="1049"/>
      <c r="Q14" s="1049"/>
      <c r="R14" s="1049"/>
      <c r="S14" s="1049"/>
      <c r="T14" s="1049"/>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51" t="s">
        <v>1630</v>
      </c>
      <c r="F21" s="1052"/>
      <c r="G21" s="1052"/>
      <c r="H21" s="1052"/>
      <c r="I21" s="1052"/>
      <c r="J21" s="1052"/>
      <c r="K21" s="1052"/>
      <c r="L21" s="1052"/>
      <c r="M21" s="1052"/>
      <c r="N21" s="1052"/>
      <c r="O21" s="1052"/>
      <c r="P21" s="1053"/>
    </row>
    <row r="22" spans="2:20" ht="16.2" thickBot="1" x14ac:dyDescent="0.35">
      <c r="D22" s="303" t="s">
        <v>2</v>
      </c>
      <c r="E22" s="1051" t="s">
        <v>1631</v>
      </c>
      <c r="F22" s="1052"/>
      <c r="G22" s="1052"/>
      <c r="H22" s="1052"/>
      <c r="I22" s="1052"/>
      <c r="J22" s="1052"/>
      <c r="K22" s="1052"/>
      <c r="L22" s="1052"/>
      <c r="M22" s="1052"/>
      <c r="N22" s="1052"/>
      <c r="O22" s="1052"/>
      <c r="P22" s="1053"/>
    </row>
    <row r="23" spans="2:20" ht="16.2" thickBot="1" x14ac:dyDescent="0.35">
      <c r="D23" s="303" t="s">
        <v>1333</v>
      </c>
      <c r="E23" s="1054">
        <v>45919</v>
      </c>
      <c r="F23" s="1052"/>
      <c r="G23" s="1052"/>
      <c r="H23" s="1052"/>
      <c r="I23" s="1052"/>
      <c r="J23" s="1052"/>
      <c r="K23" s="1052"/>
      <c r="L23" s="1052"/>
      <c r="M23" s="1052"/>
      <c r="N23" s="1052"/>
      <c r="O23" s="1052"/>
      <c r="P23" s="1053"/>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48" t="s">
        <v>1614</v>
      </c>
      <c r="E29" s="1048"/>
      <c r="F29" s="1048"/>
      <c r="G29" s="1048"/>
      <c r="H29" s="1048"/>
      <c r="I29" s="1048"/>
      <c r="J29" s="1048"/>
      <c r="K29" s="1048"/>
      <c r="L29" s="1048"/>
      <c r="M29" s="1048"/>
      <c r="N29" s="1048"/>
      <c r="O29" s="1048"/>
      <c r="P29" s="1048"/>
      <c r="Q29" s="1048"/>
      <c r="R29" s="1048"/>
      <c r="S29" s="1048"/>
      <c r="T29" s="1048"/>
    </row>
    <row r="30" spans="2:20" ht="66" customHeight="1" x14ac:dyDescent="0.3">
      <c r="B30" s="418"/>
      <c r="C30" s="176"/>
      <c r="D30" s="1048" t="s">
        <v>1560</v>
      </c>
      <c r="E30" s="1048"/>
      <c r="F30" s="1048"/>
      <c r="G30" s="1048"/>
      <c r="H30" s="1048"/>
      <c r="I30" s="1048"/>
      <c r="J30" s="1048"/>
      <c r="K30" s="1048"/>
      <c r="L30" s="1048"/>
      <c r="M30" s="1048"/>
      <c r="N30" s="1048"/>
      <c r="O30" s="1048"/>
      <c r="P30" s="1048"/>
      <c r="Q30" s="1048"/>
      <c r="R30" s="1048"/>
      <c r="S30" s="1048"/>
      <c r="T30" s="1048"/>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2027</v>
      </c>
      <c r="F33" s="819">
        <v>2.6666666666666665</v>
      </c>
      <c r="G33" s="963"/>
      <c r="P33" s="364"/>
    </row>
    <row r="34" spans="4:16" x14ac:dyDescent="0.3">
      <c r="D34" s="283" t="s">
        <v>37</v>
      </c>
      <c r="E34" s="819">
        <f>+E33+F33</f>
        <v>2029.6666666666667</v>
      </c>
      <c r="F34" s="819">
        <v>40</v>
      </c>
      <c r="G34" s="963"/>
      <c r="P34" s="364"/>
    </row>
    <row r="35" spans="4:16" x14ac:dyDescent="0.3">
      <c r="D35" s="208" t="s">
        <v>264</v>
      </c>
      <c r="E35" s="819"/>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34" zoomScale="55" zoomScaleNormal="55" workbookViewId="0">
      <selection activeCell="G52" sqref="G52"/>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75" t="str">
        <f>IF(Triagem!C29="", "Não indicou na TRIAGEM se esta folha se adequa ao projeto", IF(Triagem!C29="Não", "Não necessita de preencher esta folha", "Folha a ser preenchida"))</f>
        <v>Não indicou na TRIAGEM se esta folha se adequa ao projeto</v>
      </c>
      <c r="D8" s="1075"/>
      <c r="E8" s="1075"/>
      <c r="F8" s="1075"/>
      <c r="G8" s="1075"/>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84" t="s">
        <v>1616</v>
      </c>
      <c r="C26" s="1084"/>
      <c r="D26" s="1084"/>
      <c r="E26" s="1084"/>
      <c r="F26" s="1084"/>
      <c r="G26" s="1084"/>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79" t="s">
        <v>670</v>
      </c>
      <c r="D29" s="1080"/>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79" t="s">
        <v>671</v>
      </c>
      <c r="D30" s="1080"/>
      <c r="E30" s="1085" t="s">
        <v>1085</v>
      </c>
      <c r="F30" s="1086"/>
      <c r="G30" s="1087"/>
      <c r="H30" s="605"/>
      <c r="I30" s="605"/>
      <c r="J30" s="605"/>
      <c r="K30" s="424"/>
      <c r="L30" s="424"/>
      <c r="M30" s="424"/>
      <c r="N30" s="424"/>
      <c r="O30" s="424"/>
      <c r="P30" s="424"/>
      <c r="Q30" s="424"/>
      <c r="R30" s="424"/>
      <c r="S30" s="424"/>
    </row>
    <row r="31" spans="2:19" ht="40.950000000000003" customHeight="1" x14ac:dyDescent="0.3">
      <c r="B31" s="938" t="s">
        <v>524</v>
      </c>
      <c r="C31" s="1079" t="s">
        <v>672</v>
      </c>
      <c r="D31" s="1080"/>
      <c r="E31" s="1085" t="s">
        <v>1086</v>
      </c>
      <c r="F31" s="1086"/>
      <c r="G31" s="1087"/>
      <c r="H31" s="605"/>
      <c r="I31" s="605"/>
      <c r="J31" s="605"/>
      <c r="K31" s="423"/>
      <c r="L31" s="423"/>
      <c r="M31" s="423"/>
      <c r="N31" s="423"/>
      <c r="O31" s="423"/>
      <c r="P31" s="423"/>
      <c r="Q31" s="423"/>
      <c r="R31" s="423"/>
      <c r="S31" s="423"/>
    </row>
    <row r="32" spans="2:19" ht="43.95" customHeight="1" x14ac:dyDescent="0.3">
      <c r="B32" s="938" t="s">
        <v>525</v>
      </c>
      <c r="C32" s="1079" t="s">
        <v>673</v>
      </c>
      <c r="D32" s="1080"/>
      <c r="E32" s="1085" t="s">
        <v>1063</v>
      </c>
      <c r="F32" s="1086"/>
      <c r="G32" s="1087"/>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61" t="s">
        <v>1615</v>
      </c>
      <c r="C37" s="1062"/>
      <c r="D37" s="1088"/>
      <c r="E37" s="1089"/>
      <c r="F37" s="1089"/>
      <c r="G37" s="1090"/>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58" t="s">
        <v>659</v>
      </c>
      <c r="C54" s="1058" t="s">
        <v>29</v>
      </c>
      <c r="D54" s="1076" t="s">
        <v>544</v>
      </c>
      <c r="E54" s="1058"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59"/>
      <c r="C55" s="1059"/>
      <c r="D55" s="1077"/>
      <c r="E55" s="1059"/>
      <c r="F55" s="186" t="s">
        <v>1538</v>
      </c>
      <c r="G55" s="186" t="s">
        <v>1538</v>
      </c>
      <c r="H55" s="186" t="s">
        <v>1454</v>
      </c>
      <c r="I55" s="186" t="s">
        <v>1454</v>
      </c>
      <c r="J55" s="186" t="s">
        <v>1110</v>
      </c>
      <c r="L55" s="172"/>
      <c r="M55" s="172" t="s">
        <v>1062</v>
      </c>
      <c r="N55" s="172"/>
      <c r="O55" s="1055"/>
      <c r="P55" s="1056"/>
      <c r="Q55" s="1057"/>
      <c r="R55" s="172"/>
      <c r="S55" s="172"/>
      <c r="T55" s="172"/>
      <c r="U55" s="172"/>
    </row>
    <row r="56" spans="1:21" ht="0.6" customHeight="1" outlineLevel="1" x14ac:dyDescent="0.3">
      <c r="B56" s="1060"/>
      <c r="C56" s="1060"/>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66" t="str">
        <f>IF(O55="","",VLOOKUP(O55,FACE!$C$10:$D$40,2,FALSE))</f>
        <v/>
      </c>
      <c r="N57" s="1067"/>
      <c r="O57" s="1067"/>
      <c r="P57" s="1067"/>
      <c r="Q57" s="1067"/>
      <c r="R57" s="1067"/>
      <c r="S57" s="1067"/>
      <c r="T57" s="1068"/>
      <c r="U57" s="172"/>
    </row>
    <row r="58" spans="1:21" outlineLevel="1" x14ac:dyDescent="0.3">
      <c r="A58" s="192"/>
      <c r="B58" s="193"/>
      <c r="C58" s="454"/>
      <c r="D58" s="490"/>
      <c r="E58" s="492" t="str">
        <f>IF(C58="","",VLOOKUP(C58,FACE!$B$47:$D$92,3,FALSE))</f>
        <v/>
      </c>
      <c r="F58" s="976" t="str">
        <f>IFERROR(VLOOKUP(C58,FACE!$B$47:$H$82,5,FALSE)+VLOOKUP(C58,FACE!$B$47:$H$82,6,FALSE)*'Fatores de Emissão'!E248+VLOOKUP(C58,FACE!$B$47:$H$82,7,FALSE)*'Fatores de Emissão'!E249,"")</f>
        <v/>
      </c>
      <c r="G58" s="975" t="str">
        <f>IFERROR(VLOOKUP(C58,FACE!$B$84:$H$92,5,FALSE)+VLOOKUP(C58,FACE!$B$84:$H$92,6,FALSE)*'Fatores de Emissão'!F248+VLOOKUP(C58,FACE!$B$84:$H$92,7,FALSE)*'Fatores de Emissão'!F249,"")</f>
        <v/>
      </c>
      <c r="H58" s="820" t="str">
        <f>IFERROR(F58*D58,"")</f>
        <v/>
      </c>
      <c r="I58" s="820" t="str">
        <f>IFERROR(G58*D58,"")</f>
        <v/>
      </c>
      <c r="J58" s="975" t="str">
        <f>IF(D58="","",SUMIF('Fatores de Emissão'!$B$31:$B$75, $C58, 'Fatores de Emissão'!$R$31:$R$75)*D58)</f>
        <v/>
      </c>
      <c r="L58" s="172"/>
      <c r="M58" s="1069"/>
      <c r="N58" s="1070"/>
      <c r="O58" s="1070"/>
      <c r="P58" s="1070"/>
      <c r="Q58" s="1070"/>
      <c r="R58" s="1070"/>
      <c r="S58" s="1070"/>
      <c r="T58" s="1071"/>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 t="shared" ref="H59:H122" si="0">IFERROR(F59*D59,"")</f>
        <v/>
      </c>
      <c r="I59" s="820" t="str">
        <f t="shared" ref="I59:I122" si="1">IFERROR(G59*D59,"")</f>
        <v/>
      </c>
      <c r="J59" s="975" t="str">
        <f>IF(D59="","",SUMIF('Fatores de Emissão'!$B$31:$B$75, $C59, 'Fatores de Emissão'!$R$31:$R$75)*D59)</f>
        <v/>
      </c>
      <c r="L59" s="172"/>
      <c r="M59" s="1069"/>
      <c r="N59" s="1070"/>
      <c r="O59" s="1070"/>
      <c r="P59" s="1070"/>
      <c r="Q59" s="1070"/>
      <c r="R59" s="1070"/>
      <c r="S59" s="1070"/>
      <c r="T59" s="1071"/>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si="0"/>
        <v/>
      </c>
      <c r="I60" s="820" t="str">
        <f t="shared" si="1"/>
        <v/>
      </c>
      <c r="J60" s="975" t="str">
        <f>IF(D60="","",SUMIF('Fatores de Emissão'!$B$31:$B$75, $C60, 'Fatores de Emissão'!$R$31:$R$75)*D60)</f>
        <v/>
      </c>
      <c r="L60" s="172"/>
      <c r="M60" s="1069"/>
      <c r="N60" s="1070"/>
      <c r="O60" s="1070"/>
      <c r="P60" s="1070"/>
      <c r="Q60" s="1070"/>
      <c r="R60" s="1070"/>
      <c r="S60" s="1070"/>
      <c r="T60" s="1071"/>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69"/>
      <c r="N61" s="1070"/>
      <c r="O61" s="1070"/>
      <c r="P61" s="1070"/>
      <c r="Q61" s="1070"/>
      <c r="R61" s="1070"/>
      <c r="S61" s="1070"/>
      <c r="T61" s="1071"/>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69"/>
      <c r="N62" s="1070"/>
      <c r="O62" s="1070"/>
      <c r="P62" s="1070"/>
      <c r="Q62" s="1070"/>
      <c r="R62" s="1070"/>
      <c r="S62" s="1070"/>
      <c r="T62" s="1071"/>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72"/>
      <c r="N63" s="1073"/>
      <c r="O63" s="1073"/>
      <c r="P63" s="1073"/>
      <c r="Q63" s="1073"/>
      <c r="R63" s="1073"/>
      <c r="S63" s="1073"/>
      <c r="T63" s="1074"/>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63" t="s">
        <v>1111</v>
      </c>
      <c r="C158" s="1064"/>
      <c r="D158" s="1065"/>
      <c r="E158" s="977">
        <f>SUM(H58:H155)/1000</f>
        <v>0</v>
      </c>
      <c r="K158" s="197"/>
    </row>
    <row r="159" spans="1:11" ht="19.95" customHeight="1" outlineLevel="1" x14ac:dyDescent="0.3">
      <c r="B159" s="1063" t="s">
        <v>1112</v>
      </c>
      <c r="C159" s="1064"/>
      <c r="D159" s="1065"/>
      <c r="E159" s="977">
        <f>SUM(I58:I155)/1000</f>
        <v>0</v>
      </c>
      <c r="K159" s="197"/>
    </row>
    <row r="160" spans="1:11" ht="19.95" customHeight="1" outlineLevel="1" x14ac:dyDescent="0.3">
      <c r="B160" s="1063" t="s">
        <v>1113</v>
      </c>
      <c r="C160" s="1064"/>
      <c r="D160" s="1065"/>
      <c r="E160" s="977">
        <f>SUM(J58:J155)/1000</f>
        <v>0</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58" t="s">
        <v>659</v>
      </c>
      <c r="C166" s="1058" t="s">
        <v>29</v>
      </c>
      <c r="D166" s="1076" t="s">
        <v>545</v>
      </c>
      <c r="E166" s="1058" t="s">
        <v>30</v>
      </c>
      <c r="F166" s="1058" t="str">
        <f>F54</f>
        <v>Fator de emissão de GEE fóssil da combustão</v>
      </c>
      <c r="G166" s="1058" t="str">
        <f>G54</f>
        <v>Fator de emissão de GEE biogénico da combustão</v>
      </c>
      <c r="H166" s="1058" t="str">
        <f>H54</f>
        <v>Emissões de GEE fósseis anuais</v>
      </c>
      <c r="I166" s="1058" t="str">
        <f>I54</f>
        <v>Emissões de GEE biogénicas anuais</v>
      </c>
      <c r="J166" s="1058" t="s">
        <v>680</v>
      </c>
      <c r="L166" s="172"/>
      <c r="M166" s="185" t="s">
        <v>632</v>
      </c>
      <c r="N166" s="172"/>
      <c r="O166" s="173"/>
      <c r="P166" s="172"/>
      <c r="Q166" s="172"/>
      <c r="R166" s="172"/>
      <c r="S166" s="172"/>
      <c r="T166" s="172"/>
      <c r="U166" s="172"/>
    </row>
    <row r="167" spans="1:21" ht="18" customHeight="1" outlineLevel="1" x14ac:dyDescent="0.3">
      <c r="B167" s="1059"/>
      <c r="C167" s="1059"/>
      <c r="D167" s="1077"/>
      <c r="E167" s="1059"/>
      <c r="F167" s="1059"/>
      <c r="G167" s="1059"/>
      <c r="H167" s="1059"/>
      <c r="I167" s="1059"/>
      <c r="J167" s="1059"/>
      <c r="L167" s="172"/>
      <c r="M167" s="172" t="s">
        <v>1062</v>
      </c>
      <c r="N167" s="172"/>
      <c r="O167" s="1055"/>
      <c r="P167" s="1056"/>
      <c r="Q167" s="1057"/>
      <c r="R167" s="172"/>
      <c r="S167" s="172"/>
      <c r="T167" s="172"/>
      <c r="U167" s="172"/>
    </row>
    <row r="168" spans="1:21" ht="18" customHeight="1" outlineLevel="1" x14ac:dyDescent="0.3">
      <c r="B168" s="1060"/>
      <c r="C168" s="1060"/>
      <c r="D168" s="1078"/>
      <c r="E168" s="1060"/>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66" t="str">
        <f>IF(O167="","",VLOOKUP(O167,FACE!$C$10:$D$40,2,FALSE))</f>
        <v/>
      </c>
      <c r="N169" s="1067"/>
      <c r="O169" s="1067"/>
      <c r="P169" s="1067"/>
      <c r="Q169" s="1067"/>
      <c r="R169" s="1067"/>
      <c r="S169" s="1067"/>
      <c r="T169" s="1068"/>
      <c r="U169" s="172"/>
    </row>
    <row r="170" spans="1:21" ht="22.5" customHeight="1" outlineLevel="1" x14ac:dyDescent="0.3">
      <c r="A170" s="192"/>
      <c r="B170" s="193"/>
      <c r="C170" s="194"/>
      <c r="D170" s="490"/>
      <c r="E170" s="492" t="str">
        <f>IF(C170="","",VLOOKUP(C170,FACE!$B$47:$D$92,3,FALSE))</f>
        <v/>
      </c>
      <c r="F170" s="975" t="str">
        <f>IFERROR(VLOOKUP(C170,FACE!$B$47:$H$82,5,FALSE)+VLOOKUP(C170,FACE!$B$47:$H$82,6,FALSE)*'Fatores de Emissão'!E360+VLOOKUP(C170,FACE!$B$47:$H$82,7,FALSE)*'Fatores de Emissão'!E361,"")</f>
        <v/>
      </c>
      <c r="G170" s="975" t="str">
        <f>IFERROR(VLOOKUP(C170,FACE!$B$84:$H$92,5,FALSE)+VLOOKUP(C170,FACE!$B$84:$H$92,6,FALSE)*'Fatores de Emissão'!F360+VLOOKUP(C170,FACE!$B$84:$H$92,7,FALSE)*'Fatores de Emissão'!F361,"")</f>
        <v/>
      </c>
      <c r="H170" s="820" t="str">
        <f>IFERROR(F170*D170,"")</f>
        <v/>
      </c>
      <c r="I170" s="820" t="str">
        <f>IFERROR(G170*D170,"")</f>
        <v/>
      </c>
      <c r="J170" s="975" t="str">
        <f>IF(D170="","",SUMIF('Fatores de Emissão'!$B$31:$B$75, $C170, 'Fatores de Emissão'!$R$31:$R$75)*D170)</f>
        <v/>
      </c>
      <c r="L170" s="172"/>
      <c r="M170" s="1069"/>
      <c r="N170" s="1070"/>
      <c r="O170" s="1070"/>
      <c r="P170" s="1070"/>
      <c r="Q170" s="1070"/>
      <c r="R170" s="1070"/>
      <c r="S170" s="1070"/>
      <c r="T170" s="1071"/>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69"/>
      <c r="N171" s="1070"/>
      <c r="O171" s="1070"/>
      <c r="P171" s="1070"/>
      <c r="Q171" s="1070"/>
      <c r="R171" s="1070"/>
      <c r="S171" s="1070"/>
      <c r="T171" s="1071"/>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69"/>
      <c r="N172" s="1070"/>
      <c r="O172" s="1070"/>
      <c r="P172" s="1070"/>
      <c r="Q172" s="1070"/>
      <c r="R172" s="1070"/>
      <c r="S172" s="1070"/>
      <c r="T172" s="1071"/>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69"/>
      <c r="N173" s="1070"/>
      <c r="O173" s="1070"/>
      <c r="P173" s="1070"/>
      <c r="Q173" s="1070"/>
      <c r="R173" s="1070"/>
      <c r="S173" s="1070"/>
      <c r="T173" s="1071"/>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69"/>
      <c r="N174" s="1070"/>
      <c r="O174" s="1070"/>
      <c r="P174" s="1070"/>
      <c r="Q174" s="1070"/>
      <c r="R174" s="1070"/>
      <c r="S174" s="1070"/>
      <c r="T174" s="1071"/>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72"/>
      <c r="N175" s="1073"/>
      <c r="O175" s="1073"/>
      <c r="P175" s="1073"/>
      <c r="Q175" s="1073"/>
      <c r="R175" s="1073"/>
      <c r="S175" s="1073"/>
      <c r="T175" s="1074"/>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63" t="s">
        <v>1111</v>
      </c>
      <c r="C275" s="1064"/>
      <c r="D275" s="1065"/>
      <c r="E275" s="978">
        <f>SUM(H170:H269)/1000</f>
        <v>0</v>
      </c>
      <c r="K275" s="197"/>
    </row>
    <row r="276" spans="1:21" ht="19.95" customHeight="1" outlineLevel="1" x14ac:dyDescent="0.3">
      <c r="B276" s="1063" t="s">
        <v>1112</v>
      </c>
      <c r="C276" s="1064"/>
      <c r="D276" s="1065"/>
      <c r="E276" s="978">
        <f>SUM(I170:I269)/1000</f>
        <v>0</v>
      </c>
      <c r="K276" s="197"/>
    </row>
    <row r="277" spans="1:21" ht="19.95" customHeight="1" outlineLevel="1" x14ac:dyDescent="0.3">
      <c r="B277" s="1063" t="s">
        <v>1113</v>
      </c>
      <c r="C277" s="1064"/>
      <c r="D277" s="1065"/>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58" t="s">
        <v>659</v>
      </c>
      <c r="C283" s="1058" t="s">
        <v>29</v>
      </c>
      <c r="D283" s="1076" t="s">
        <v>545</v>
      </c>
      <c r="E283" s="1058" t="s">
        <v>30</v>
      </c>
      <c r="F283" s="1058" t="str">
        <f>F166</f>
        <v>Fator de emissão de GEE fóssil da combustão</v>
      </c>
      <c r="G283" s="1058" t="str">
        <f>G166</f>
        <v>Fator de emissão de GEE biogénico da combustão</v>
      </c>
      <c r="H283" s="1058" t="str">
        <f>H166</f>
        <v>Emissões de GEE fósseis anuais</v>
      </c>
      <c r="I283" s="1058" t="str">
        <f>I166</f>
        <v>Emissões de GEE biogénicas anuais</v>
      </c>
      <c r="J283" s="1058" t="s">
        <v>680</v>
      </c>
      <c r="L283" s="172"/>
      <c r="M283" s="185" t="s">
        <v>632</v>
      </c>
      <c r="N283" s="172"/>
      <c r="O283" s="173"/>
      <c r="P283" s="172"/>
      <c r="Q283" s="172"/>
      <c r="R283" s="172"/>
      <c r="S283" s="172"/>
      <c r="T283" s="172"/>
      <c r="U283" s="172"/>
    </row>
    <row r="284" spans="1:21" ht="18" customHeight="1" outlineLevel="1" x14ac:dyDescent="0.3">
      <c r="B284" s="1059"/>
      <c r="C284" s="1059"/>
      <c r="D284" s="1077"/>
      <c r="E284" s="1059"/>
      <c r="F284" s="1059"/>
      <c r="G284" s="1059"/>
      <c r="H284" s="1059"/>
      <c r="I284" s="1059"/>
      <c r="J284" s="1059"/>
      <c r="L284" s="172"/>
      <c r="M284" s="172" t="s">
        <v>1062</v>
      </c>
      <c r="N284" s="172"/>
      <c r="O284" s="1055"/>
      <c r="P284" s="1056"/>
      <c r="Q284" s="1057"/>
      <c r="R284" s="172"/>
      <c r="S284" s="172"/>
      <c r="T284" s="172"/>
      <c r="U284" s="172"/>
    </row>
    <row r="285" spans="1:21" ht="18" customHeight="1" outlineLevel="1" x14ac:dyDescent="0.3">
      <c r="B285" s="1060"/>
      <c r="C285" s="1060"/>
      <c r="D285" s="1078"/>
      <c r="E285" s="1060"/>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66" t="str">
        <f>IF(O284="","",VLOOKUP(O284,FACE!$C$10:$D$40,2,FALSE))</f>
        <v/>
      </c>
      <c r="N286" s="1067"/>
      <c r="O286" s="1067"/>
      <c r="P286" s="1067"/>
      <c r="Q286" s="1067"/>
      <c r="R286" s="1067"/>
      <c r="S286" s="1067"/>
      <c r="T286" s="1068"/>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69"/>
      <c r="N287" s="1070"/>
      <c r="O287" s="1070"/>
      <c r="P287" s="1070"/>
      <c r="Q287" s="1070"/>
      <c r="R287" s="1070"/>
      <c r="S287" s="1070"/>
      <c r="T287" s="1071"/>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69"/>
      <c r="N288" s="1070"/>
      <c r="O288" s="1070"/>
      <c r="P288" s="1070"/>
      <c r="Q288" s="1070"/>
      <c r="R288" s="1070"/>
      <c r="S288" s="1070"/>
      <c r="T288" s="1071"/>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69"/>
      <c r="N289" s="1070"/>
      <c r="O289" s="1070"/>
      <c r="P289" s="1070"/>
      <c r="Q289" s="1070"/>
      <c r="R289" s="1070"/>
      <c r="S289" s="1070"/>
      <c r="T289" s="1071"/>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69"/>
      <c r="N290" s="1070"/>
      <c r="O290" s="1070"/>
      <c r="P290" s="1070"/>
      <c r="Q290" s="1070"/>
      <c r="R290" s="1070"/>
      <c r="S290" s="1070"/>
      <c r="T290" s="1071"/>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69"/>
      <c r="N291" s="1070"/>
      <c r="O291" s="1070"/>
      <c r="P291" s="1070"/>
      <c r="Q291" s="1070"/>
      <c r="R291" s="1070"/>
      <c r="S291" s="1070"/>
      <c r="T291" s="1071"/>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72"/>
      <c r="N292" s="1073"/>
      <c r="O292" s="1073"/>
      <c r="P292" s="1073"/>
      <c r="Q292" s="1073"/>
      <c r="R292" s="1073"/>
      <c r="S292" s="1073"/>
      <c r="T292" s="1074"/>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63" t="s">
        <v>1111</v>
      </c>
      <c r="C390" s="1064"/>
      <c r="D390" s="1065"/>
      <c r="E390" s="978">
        <f>SUM(H287:H386)/1000</f>
        <v>0</v>
      </c>
      <c r="K390" s="197"/>
    </row>
    <row r="391" spans="1:12" ht="19.95" customHeight="1" outlineLevel="1" x14ac:dyDescent="0.3">
      <c r="B391" s="1063" t="s">
        <v>1112</v>
      </c>
      <c r="C391" s="1064"/>
      <c r="D391" s="1065"/>
      <c r="E391" s="978">
        <f>SUM(I287:I386)/1000</f>
        <v>0</v>
      </c>
      <c r="K391" s="197"/>
    </row>
    <row r="392" spans="1:12" ht="19.95" customHeight="1" outlineLevel="1" x14ac:dyDescent="0.3">
      <c r="B392" s="1063" t="s">
        <v>1113</v>
      </c>
      <c r="C392" s="1064"/>
      <c r="D392" s="1065"/>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81" t="s">
        <v>1116</v>
      </c>
      <c r="E398" s="1081"/>
      <c r="F398" s="1081"/>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0</v>
      </c>
      <c r="E400" s="820">
        <f>E275</f>
        <v>0</v>
      </c>
      <c r="F400" s="820">
        <f>E390</f>
        <v>0</v>
      </c>
    </row>
    <row r="401" spans="2:10" ht="19.95" customHeight="1" x14ac:dyDescent="0.3">
      <c r="B401" s="360" t="s">
        <v>1484</v>
      </c>
      <c r="C401" s="494"/>
      <c r="D401" s="820">
        <f>E159</f>
        <v>0</v>
      </c>
      <c r="E401" s="820">
        <f>E276</f>
        <v>0</v>
      </c>
      <c r="F401" s="820">
        <f>E391</f>
        <v>0</v>
      </c>
    </row>
    <row r="402" spans="2:10" ht="19.95" customHeight="1" x14ac:dyDescent="0.3">
      <c r="B402" s="360" t="s">
        <v>1485</v>
      </c>
      <c r="C402" s="209"/>
      <c r="D402" s="820">
        <f>E160</f>
        <v>0</v>
      </c>
      <c r="E402" s="820">
        <f>E277</f>
        <v>0</v>
      </c>
      <c r="F402" s="820">
        <f>E392</f>
        <v>0</v>
      </c>
    </row>
    <row r="403" spans="2:10" ht="19.95" customHeight="1" x14ac:dyDescent="0.3">
      <c r="B403" s="210"/>
      <c r="C403" s="210"/>
      <c r="D403" s="211"/>
      <c r="E403" s="211"/>
      <c r="F403" s="211"/>
    </row>
    <row r="404" spans="2:10" ht="19.95" customHeight="1" x14ac:dyDescent="0.3">
      <c r="D404" s="1082" t="s">
        <v>1563</v>
      </c>
      <c r="E404" s="1082"/>
      <c r="F404" s="1083"/>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0</v>
      </c>
      <c r="E405" s="820">
        <f>IF('Dados gerais'!$F$34="", 'Fatores de Emissão'!$E$13*E400, 'Dados gerais'!$F$34*E400)</f>
        <v>0</v>
      </c>
      <c r="F405" s="820">
        <f>IF('Dados gerais'!$F$35="", 'Fatores de Emissão'!$E$14*F400, 'Dados gerais'!$F$35*F400)</f>
        <v>0</v>
      </c>
      <c r="G405" s="821">
        <f>SUM(D405:F405)</f>
        <v>0</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0</v>
      </c>
      <c r="F406" s="820">
        <f>IF('Dados gerais'!$F$35="", 'Fatores de Emissão'!$E$14*F401, 'Dados gerais'!$F$35*F401)</f>
        <v>0</v>
      </c>
      <c r="G406" s="821">
        <f>SUM(D406:F406)</f>
        <v>0</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0</v>
      </c>
      <c r="E407" s="820">
        <f>IF('Dados gerais'!$F$34="", 'Fatores de Emissão'!$E$13*E402, 'Dados gerais'!$F$34*E402)</f>
        <v>0</v>
      </c>
      <c r="F407" s="820">
        <f>IF('Dados gerais'!$F$35="", 'Fatores de Emissão'!$E$14*F402, 'Dados gerais'!$F$35*F402)</f>
        <v>0</v>
      </c>
      <c r="G407" s="821">
        <f t="shared" ref="G407" si="12">SUM(D407:F407)</f>
        <v>0</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C8:G8"/>
    <mergeCell ref="C166:C168"/>
    <mergeCell ref="D166:D168"/>
    <mergeCell ref="E166:E168"/>
    <mergeCell ref="D54:D55"/>
    <mergeCell ref="E54:E55"/>
    <mergeCell ref="G166:G167"/>
    <mergeCell ref="C29:D29"/>
    <mergeCell ref="I166:I167"/>
    <mergeCell ref="M169:T175"/>
    <mergeCell ref="M57:T63"/>
    <mergeCell ref="B166:B168"/>
    <mergeCell ref="B159:D159"/>
    <mergeCell ref="O167:Q167"/>
    <mergeCell ref="B160:D160"/>
    <mergeCell ref="O55:Q55"/>
    <mergeCell ref="B54:B56"/>
    <mergeCell ref="C54:C56"/>
    <mergeCell ref="B37:C37"/>
    <mergeCell ref="B158:D158"/>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091"/>
      <c r="M10" s="1091"/>
      <c r="N10" s="506"/>
      <c r="O10" s="506"/>
      <c r="P10" s="506"/>
      <c r="Q10" s="1092"/>
      <c r="R10" s="1092"/>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091"/>
      <c r="M11" s="1091"/>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109.2"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56"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f>'Combustão Estacionária'!D37</f>
        <v>0</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t="str">
        <f>IF($F$45='Fatores de Emissão'!$J$30,'Fatores de Emissão'!J31*E47/1000000,IF($F$45='Fatores de Emissão'!$K$30,'Fatores de Emissão'!K31*E47/1000000,IF($F$45='Fatores de Emissão'!$L$30,'Fatores de Emissão'!L31*E47/1000000,IF($F$45='Fatores de Emissão'!$M$30,'Fatores de Emissão'!M31*E47/1000000,""))))</f>
        <v/>
      </c>
      <c r="H47" s="523" t="str">
        <f>IF($F$45='Fatores de Emissão'!$N$30,'Fatores de Emissão'!N31*E47/1000000,IF($F$45='Fatores de Emissão'!$O$30,'Fatores de Emissão'!O31*E47/1000000,IF($F$45='Fatores de Emissão'!$P$30,'Fatores de Emissão'!P31*E47/1000000,IF($F$45='Fatores de Emissão'!$Q$30,'Fatores de Emissão'!Q31*E47/1000000,""))))</f>
        <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t="str">
        <f>IF($F$45='Fatores de Emissão'!$J$30,'Fatores de Emissão'!J32*E48/1000000,IF($F$45='Fatores de Emissão'!$K$30,'Fatores de Emissão'!K32*E48/1000000,IF($F$45='Fatores de Emissão'!$L$30,'Fatores de Emissão'!L32*E48/1000000,IF($F$45='Fatores de Emissão'!$M$30,'Fatores de Emissão'!M32*E48/1000000,""))))</f>
        <v/>
      </c>
      <c r="H48" s="523" t="str">
        <f>IF($F$45='Fatores de Emissão'!$N$30,'Fatores de Emissão'!N32*E48/1000000,IF($F$45='Fatores de Emissão'!$O$30,'Fatores de Emissão'!O32*E48/1000000,IF($F$45='Fatores de Emissão'!$P$30,'Fatores de Emissão'!P32*E48/1000000,IF($F$45='Fatores de Emissão'!$Q$30,'Fatores de Emissão'!Q32*E48/1000000,""))))</f>
        <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t="str">
        <f>IF($F$45='Fatores de Emissão'!$J$30,'Fatores de Emissão'!J33*E49/1000000,IF($F$45='Fatores de Emissão'!$K$30,'Fatores de Emissão'!K33*E49/1000000,IF($F$45='Fatores de Emissão'!$L$30,'Fatores de Emissão'!L33*E49/1000000,IF($F$45='Fatores de Emissão'!$M$30,'Fatores de Emissão'!M33*E49/1000000,""))))</f>
        <v/>
      </c>
      <c r="H49" s="523" t="str">
        <f>IF($F$45='Fatores de Emissão'!$N$30,'Fatores de Emissão'!N33*E49/1000000,IF($F$45='Fatores de Emissão'!$O$30,'Fatores de Emissão'!O33*E49/1000000,IF($F$45='Fatores de Emissão'!$P$30,'Fatores de Emissão'!P33*E49/1000000,IF($F$45='Fatores de Emissão'!$Q$30,'Fatores de Emissão'!Q33*E49/1000000,""))))</f>
        <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t="str">
        <f>IF($F$45='Fatores de Emissão'!$J$30,'Fatores de Emissão'!J34*E50/1000000,IF($F$45='Fatores de Emissão'!$K$30,'Fatores de Emissão'!K34*E50/1000000,IF($F$45='Fatores de Emissão'!$L$30,'Fatores de Emissão'!L34*E50/1000000,IF($F$45='Fatores de Emissão'!$M$30,'Fatores de Emissão'!M34*E50/1000000,""))))</f>
        <v/>
      </c>
      <c r="H50" s="523" t="str">
        <f>IF($F$45='Fatores de Emissão'!$N$30,'Fatores de Emissão'!N34*E50/1000000,IF($F$45='Fatores de Emissão'!$O$30,'Fatores de Emissão'!O34*E50/1000000,IF($F$45='Fatores de Emissão'!$P$30,'Fatores de Emissão'!P34*E50/1000000,IF($F$45='Fatores de Emissão'!$Q$30,'Fatores de Emissão'!Q34*E50/1000000,""))))</f>
        <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t="str">
        <f>IF($F$45='Fatores de Emissão'!$J$30,'Fatores de Emissão'!J35*E51/1000000,IF($F$45='Fatores de Emissão'!$K$30,'Fatores de Emissão'!K35*E51/1000000,IF($F$45='Fatores de Emissão'!$L$30,'Fatores de Emissão'!L35*E51/1000000,IF($F$45='Fatores de Emissão'!$M$30,'Fatores de Emissão'!M35*E51/1000000,""))))</f>
        <v/>
      </c>
      <c r="H51" s="523" t="str">
        <f>IF($F$45='Fatores de Emissão'!$N$30,'Fatores de Emissão'!N35*E51/1000000,IF($F$45='Fatores de Emissão'!$O$30,'Fatores de Emissão'!O35*E51/1000000,IF($F$45='Fatores de Emissão'!$P$30,'Fatores de Emissão'!P35*E51/1000000,IF($F$45='Fatores de Emissão'!$Q$30,'Fatores de Emissão'!Q35*E51/1000000,""))))</f>
        <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t="str">
        <f>IF($F$45='Fatores de Emissão'!$J$30,'Fatores de Emissão'!J51*E52/1000000,IF($F$45='Fatores de Emissão'!$K$30,'Fatores de Emissão'!K51*E52/1000000,IF($F$45='Fatores de Emissão'!$L$30,'Fatores de Emissão'!L51*E52/1000000,IF($F$45='Fatores de Emissão'!$M$30,'Fatores de Emissão'!M51*E52/1000000,""))))</f>
        <v/>
      </c>
      <c r="H52" s="523" t="str">
        <f>IF($F$45='Fatores de Emissão'!$N$30,'Fatores de Emissão'!N51*E52/1000000,IF($F$45='Fatores de Emissão'!$O$30,'Fatores de Emissão'!O51*E52/1000000,IF($F$45='Fatores de Emissão'!$P$30,'Fatores de Emissão'!P51*E52/1000000,IF($F$45='Fatores de Emissão'!$Q$30,'Fatores de Emissão'!Q51*E52/1000000,""))))</f>
        <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t="str">
        <f>IF($F$45='Fatores de Emissão'!$J$30,'Fatores de Emissão'!J36*E53/1000000,IF($F$45='Fatores de Emissão'!$K$30,'Fatores de Emissão'!K36*E53/1000000,IF($F$45='Fatores de Emissão'!$L$30,'Fatores de Emissão'!L36*E53/1000000,IF($F$45='Fatores de Emissão'!$M$30,'Fatores de Emissão'!M36*E53/1000000,""))))</f>
        <v/>
      </c>
      <c r="H53" s="523" t="str">
        <f>IF($F$45='Fatores de Emissão'!$N$30,'Fatores de Emissão'!N36*E53/1000000,IF($F$45='Fatores de Emissão'!$O$30,'Fatores de Emissão'!O36*E53/1000000,IF($F$45='Fatores de Emissão'!$P$30,'Fatores de Emissão'!P36*E53/1000000,IF($F$45='Fatores de Emissão'!$Q$30,'Fatores de Emissão'!Q36*E53/1000000,""))))</f>
        <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t="str">
        <f>IF($F$45='Fatores de Emissão'!$J$30,'Fatores de Emissão'!J37*E54/1000000,IF($F$45='Fatores de Emissão'!$K$30,'Fatores de Emissão'!K37*E54/1000000,IF($F$45='Fatores de Emissão'!$L$30,'Fatores de Emissão'!L37*E54/1000000,IF($F$45='Fatores de Emissão'!$M$30,'Fatores de Emissão'!M37*E54/1000000,""))))</f>
        <v/>
      </c>
      <c r="H54" s="523" t="str">
        <f>IF($F$45='Fatores de Emissão'!$N$30,'Fatores de Emissão'!N37*E54/1000000,IF($F$45='Fatores de Emissão'!$O$30,'Fatores de Emissão'!O37*E54/1000000,IF($F$45='Fatores de Emissão'!$P$30,'Fatores de Emissão'!P37*E54/1000000,IF($F$45='Fatores de Emissão'!$Q$30,'Fatores de Emissão'!Q37*E54/1000000,""))))</f>
        <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t="str">
        <f>IF($F$45='Fatores de Emissão'!$J$30,'Fatores de Emissão'!J38*E55/1000000,IF($F$45='Fatores de Emissão'!$K$30,'Fatores de Emissão'!K38*E55/1000000,IF($F$45='Fatores de Emissão'!$L$30,'Fatores de Emissão'!L38*E55/1000000,IF($F$45='Fatores de Emissão'!$M$30,'Fatores de Emissão'!M38*E55/1000000,""))))</f>
        <v/>
      </c>
      <c r="H55" s="523" t="str">
        <f>IF($F$45='Fatores de Emissão'!$N$30,'Fatores de Emissão'!N38*E55/1000000,IF($F$45='Fatores de Emissão'!$O$30,'Fatores de Emissão'!O38*E55/1000000,IF($F$45='Fatores de Emissão'!$P$30,'Fatores de Emissão'!P38*E55/1000000,IF($F$45='Fatores de Emissão'!$Q$30,'Fatores de Emissão'!Q38*E55/1000000,""))))</f>
        <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t="str">
        <f>IF($F$45='Fatores de Emissão'!$J$30,'Fatores de Emissão'!J39*E56/1000000,IF($F$45='Fatores de Emissão'!$K$30,'Fatores de Emissão'!K39*E56/1000000,IF($F$45='Fatores de Emissão'!$L$30,'Fatores de Emissão'!L39*E56/1000000,IF($F$45='Fatores de Emissão'!$M$30,'Fatores de Emissão'!M39*E56/1000000,""))))</f>
        <v/>
      </c>
      <c r="H56" s="523" t="str">
        <f>IF($F$45='Fatores de Emissão'!$N$30,'Fatores de Emissão'!N39*E56/1000000,IF($F$45='Fatores de Emissão'!$O$30,'Fatores de Emissão'!O39*E56/1000000,IF($F$45='Fatores de Emissão'!$P$30,'Fatores de Emissão'!P39*E56/1000000,IF($F$45='Fatores de Emissão'!$Q$30,'Fatores de Emissão'!Q39*E56/1000000,""))))</f>
        <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t="str">
        <f>IF($F$45='Fatores de Emissão'!$J$30,'Fatores de Emissão'!J40*E57/1000000,IF($F$45='Fatores de Emissão'!$K$30,'Fatores de Emissão'!K40*E57/1000000,IF($F$45='Fatores de Emissão'!$L$30,'Fatores de Emissão'!L40*E57/1000000,IF($F$45='Fatores de Emissão'!$M$30,'Fatores de Emissão'!M40*E57/1000000,""))))</f>
        <v/>
      </c>
      <c r="H57" s="523" t="str">
        <f>IF($F$45='Fatores de Emissão'!$N$30,'Fatores de Emissão'!N40*E57/1000000,IF($F$45='Fatores de Emissão'!$O$30,'Fatores de Emissão'!O40*E57/1000000,IF($F$45='Fatores de Emissão'!$P$30,'Fatores de Emissão'!P40*E57/1000000,IF($F$45='Fatores de Emissão'!$Q$30,'Fatores de Emissão'!Q40*E57/1000000,""))))</f>
        <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t="str">
        <f>IF($F$45='Fatores de Emissão'!$J$30,'Fatores de Emissão'!J41*E58/1000000,IF($F$45='Fatores de Emissão'!$K$30,'Fatores de Emissão'!K41*E58/1000000,IF($F$45='Fatores de Emissão'!$L$30,'Fatores de Emissão'!L41*E58/1000000,IF($F$45='Fatores de Emissão'!$M$30,'Fatores de Emissão'!M41*E58/1000000,""))))</f>
        <v/>
      </c>
      <c r="H58" s="523" t="str">
        <f>IF($F$45='Fatores de Emissão'!$N$30,'Fatores de Emissão'!N41*E58/1000000,IF($F$45='Fatores de Emissão'!$O$30,'Fatores de Emissão'!O41*E58/1000000,IF($F$45='Fatores de Emissão'!$P$30,'Fatores de Emissão'!P41*E58/1000000,IF($F$45='Fatores de Emissão'!$Q$30,'Fatores de Emissão'!Q41*E58/1000000,""))))</f>
        <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t="str">
        <f>IF($F$45='Fatores de Emissão'!$J$30,'Fatores de Emissão'!J42*E59/1000000,IF($F$45='Fatores de Emissão'!$K$30,'Fatores de Emissão'!K42*E59/1000000,IF($F$45='Fatores de Emissão'!$L$30,'Fatores de Emissão'!L42*E59/1000000,IF($F$45='Fatores de Emissão'!$M$30,'Fatores de Emissão'!M42*E59/1000000,""))))</f>
        <v/>
      </c>
      <c r="H59" s="523" t="str">
        <f>IF($F$45='Fatores de Emissão'!$N$30,'Fatores de Emissão'!N42*E59/1000000,IF($F$45='Fatores de Emissão'!$O$30,'Fatores de Emissão'!O42*E59/1000000,IF($F$45='Fatores de Emissão'!$P$30,'Fatores de Emissão'!P42*E59/1000000,IF($F$45='Fatores de Emissão'!$Q$30,'Fatores de Emissão'!Q42*E59/1000000,""))))</f>
        <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t="str">
        <f>IF($F$45='Fatores de Emissão'!$J$30,'Fatores de Emissão'!J43*E60/1000000,IF($F$45='Fatores de Emissão'!$K$30,'Fatores de Emissão'!K43*E60/1000000,IF($F$45='Fatores de Emissão'!$L$30,'Fatores de Emissão'!L43*E60/1000000,IF($F$45='Fatores de Emissão'!$M$30,'Fatores de Emissão'!M43*E60/1000000,""))))</f>
        <v/>
      </c>
      <c r="H60" s="523" t="str">
        <f>IF($F$45='Fatores de Emissão'!$N$30,'Fatores de Emissão'!N43*E60/1000000,IF($F$45='Fatores de Emissão'!$O$30,'Fatores de Emissão'!O43*E60/1000000,IF($F$45='Fatores de Emissão'!$P$30,'Fatores de Emissão'!P43*E60/1000000,IF($F$45='Fatores de Emissão'!$Q$30,'Fatores de Emissão'!Q43*E60/1000000,""))))</f>
        <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t="str">
        <f>IF($F$45='Fatores de Emissão'!$J$30,'Fatores de Emissão'!J44*E61/1000000,IF($F$45='Fatores de Emissão'!$K$30,'Fatores de Emissão'!K44*E61/1000000,IF($F$45='Fatores de Emissão'!$L$30,'Fatores de Emissão'!L44*E61/1000000,IF($F$45='Fatores de Emissão'!$M$30,'Fatores de Emissão'!M44*E61/1000000,""))))</f>
        <v/>
      </c>
      <c r="H61" s="523" t="str">
        <f>IF($F$45='Fatores de Emissão'!$N$30,'Fatores de Emissão'!N44*E61/1000000,IF($F$45='Fatores de Emissão'!$O$30,'Fatores de Emissão'!O44*E61/1000000,IF($F$45='Fatores de Emissão'!$P$30,'Fatores de Emissão'!P44*E61/1000000,IF($F$45='Fatores de Emissão'!$Q$30,'Fatores de Emissão'!Q44*E61/1000000,""))))</f>
        <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t="str">
        <f>IF($F$45='Fatores de Emissão'!$J$30,'Fatores de Emissão'!J45*E62/1000000,IF($F$45='Fatores de Emissão'!$K$30,'Fatores de Emissão'!K45*E62/1000000,IF($F$45='Fatores de Emissão'!$L$30,'Fatores de Emissão'!L45*E62/1000000,IF($F$45='Fatores de Emissão'!$M$30,'Fatores de Emissão'!M45*E62/1000000,""))))</f>
        <v/>
      </c>
      <c r="H62" s="523" t="str">
        <f>IF($F$45='Fatores de Emissão'!$N$30,'Fatores de Emissão'!N45*E62/1000000,IF($F$45='Fatores de Emissão'!$O$30,'Fatores de Emissão'!O45*E62/1000000,IF($F$45='Fatores de Emissão'!$P$30,'Fatores de Emissão'!P45*E62/1000000,IF($F$45='Fatores de Emissão'!$Q$30,'Fatores de Emissão'!Q45*E62/1000000,""))))</f>
        <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t="str">
        <f>IF($F$45='Fatores de Emissão'!$J$30,'Fatores de Emissão'!J46*E63/1000000,IF($F$45='Fatores de Emissão'!$K$30,'Fatores de Emissão'!K46*E63/1000000,IF($F$45='Fatores de Emissão'!$L$30,'Fatores de Emissão'!L46*E63/1000000,IF($F$45='Fatores de Emissão'!$M$30,'Fatores de Emissão'!M46*E63/1000000,""))))</f>
        <v/>
      </c>
      <c r="H63" s="523" t="str">
        <f>IF($F$45='Fatores de Emissão'!$N$30,'Fatores de Emissão'!N46*E63/1000000,IF($F$45='Fatores de Emissão'!$O$30,'Fatores de Emissão'!O46*E63/1000000,IF($F$45='Fatores de Emissão'!$P$30,'Fatores de Emissão'!P46*E63/1000000,IF($F$45='Fatores de Emissão'!$Q$30,'Fatores de Emissão'!Q46*E63/1000000,""))))</f>
        <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t="str">
        <f>IF($F$45='Fatores de Emissão'!$J$30,'Fatores de Emissão'!J47*E64/1000000,IF($F$45='Fatores de Emissão'!$K$30,'Fatores de Emissão'!K47*E64/1000000,IF($F$45='Fatores de Emissão'!$L$30,'Fatores de Emissão'!L47*E64/1000000,IF($F$45='Fatores de Emissão'!$M$30,'Fatores de Emissão'!M47*E64/1000000,""))))</f>
        <v/>
      </c>
      <c r="H64" s="523" t="str">
        <f>IF($F$45='Fatores de Emissão'!$N$30,'Fatores de Emissão'!N47*E64/1000000,IF($F$45='Fatores de Emissão'!$O$30,'Fatores de Emissão'!O47*E64/1000000,IF($F$45='Fatores de Emissão'!$P$30,'Fatores de Emissão'!P47*E64/1000000,IF($F$45='Fatores de Emissão'!$Q$30,'Fatores de Emissão'!Q47*E64/1000000,""))))</f>
        <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t="str">
        <f>IF($F$45='Fatores de Emissão'!$J$30,'Fatores de Emissão'!J48*E65/1000000,IF($F$45='Fatores de Emissão'!$K$30,'Fatores de Emissão'!K48*E65/1000000,IF($F$45='Fatores de Emissão'!$L$30,'Fatores de Emissão'!L48*E65/1000000,IF($F$45='Fatores de Emissão'!$M$30,'Fatores de Emissão'!M48*E65/1000000,""))))</f>
        <v/>
      </c>
      <c r="H65" s="523" t="str">
        <f>IF($F$45='Fatores de Emissão'!$N$30,'Fatores de Emissão'!N48*E65/1000000,IF($F$45='Fatores de Emissão'!$O$30,'Fatores de Emissão'!O48*E65/1000000,IF($F$45='Fatores de Emissão'!$P$30,'Fatores de Emissão'!P48*E65/1000000,IF($F$45='Fatores de Emissão'!$Q$30,'Fatores de Emissão'!Q48*E65/1000000,""))))</f>
        <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t="str">
        <f>IF($F$45='Fatores de Emissão'!$J$30,'Fatores de Emissão'!J49*E66/1000000,IF($F$45='Fatores de Emissão'!$K$30,'Fatores de Emissão'!K49*E66/1000000,IF($F$45='Fatores de Emissão'!$L$30,'Fatores de Emissão'!L49*E66/1000000,IF($F$45='Fatores de Emissão'!$M$30,'Fatores de Emissão'!M49*E66/1000000,""))))</f>
        <v/>
      </c>
      <c r="H66" s="523" t="str">
        <f>IF($F$45='Fatores de Emissão'!$N$30,'Fatores de Emissão'!N49*E66/1000000,IF($F$45='Fatores de Emissão'!$O$30,'Fatores de Emissão'!O49*E66/1000000,IF($F$45='Fatores de Emissão'!$P$30,'Fatores de Emissão'!P49*E66/1000000,IF($F$45='Fatores de Emissão'!$Q$30,'Fatores de Emissão'!Q49*E66/1000000,""))))</f>
        <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0</v>
      </c>
      <c r="D67" s="522" t="str">
        <f>'Fatores de Emissão'!D50</f>
        <v>Litros</v>
      </c>
      <c r="E67" s="459">
        <f>VLOOKUP($B67,'Fatores de Emissão'!$B$31:$Q$75,4,FALSE)</f>
        <v>35.823599999999999</v>
      </c>
      <c r="F67" s="459">
        <f>VLOOKUP($B67,'Fatores de Emissão'!$B$31:$Q$75,6,FALSE)*E67/1000000</f>
        <v>2.6509464</v>
      </c>
      <c r="G67" s="523" t="str">
        <f>IF($F$45='Fatores de Emissão'!$J$30,'Fatores de Emissão'!J50*E67/1000000,IF($F$45='Fatores de Emissão'!$K$30,'Fatores de Emissão'!K50*E67/1000000,IF($F$45='Fatores de Emissão'!$L$30,'Fatores de Emissão'!L50*E67/1000000,IF($F$45='Fatores de Emissão'!$M$30,'Fatores de Emissão'!M50*E67/1000000,""))))</f>
        <v/>
      </c>
      <c r="H67" s="523" t="str">
        <f>IF($F$45='Fatores de Emissão'!$N$30,'Fatores de Emissão'!N50*E67/1000000,IF($F$45='Fatores de Emissão'!$O$30,'Fatores de Emissão'!O50*E67/1000000,IF($F$45='Fatores de Emissão'!$P$30,'Fatores de Emissão'!P50*E67/1000000,IF($F$45='Fatores de Emissão'!$Q$30,'Fatores de Emissão'!Q50*E67/1000000,""))))</f>
        <v/>
      </c>
      <c r="I67" s="457" t="str">
        <f t="shared" si="2"/>
        <v>-</v>
      </c>
      <c r="J67" s="457" t="str">
        <f t="shared" si="0"/>
        <v>-</v>
      </c>
      <c r="K67" s="457" t="str">
        <f t="shared" si="1"/>
        <v>-</v>
      </c>
      <c r="L67" s="524" t="str">
        <f>IF(C67=0,"-",I67*'Fatores de Emissão'!$E$252+FACE!J67*'Fatores de Emissão'!$E$248+FACE!K67*'Fatores de Emissão'!$E$249)</f>
        <v>-</v>
      </c>
      <c r="M67" s="366">
        <f>'Fatores de Emissão'!R50</f>
        <v>2.2411459459459466E-6</v>
      </c>
      <c r="N67" s="366">
        <f t="shared" si="3"/>
        <v>0</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t="str">
        <f>IF($F$45='Fatores de Emissão'!$J$30,'Fatores de Emissão'!J52*E68/1000000,IF($F$45='Fatores de Emissão'!$K$30,'Fatores de Emissão'!K52*E68/1000000,IF($F$45='Fatores de Emissão'!$L$30,'Fatores de Emissão'!L52*E68/1000000,IF($F$45='Fatores de Emissão'!$M$30,'Fatores de Emissão'!M52*E68/1000000,""))))</f>
        <v/>
      </c>
      <c r="H68" s="523" t="str">
        <f>IF($F$45='Fatores de Emissão'!$N$30,'Fatores de Emissão'!N52*E68/1000000,IF($F$45='Fatores de Emissão'!$O$30,'Fatores de Emissão'!O52*E68/1000000,IF($F$45='Fatores de Emissão'!$P$30,'Fatores de Emissão'!P52*E68/1000000,IF($F$45='Fatores de Emissão'!$Q$30,'Fatores de Emissão'!Q52*E68/1000000,""))))</f>
        <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t="str">
        <f>IF($F$45='Fatores de Emissão'!$J$30,'Fatores de Emissão'!J53*E69/1000000,IF($F$45='Fatores de Emissão'!$K$30,'Fatores de Emissão'!K53*E69/1000000,IF($F$45='Fatores de Emissão'!$L$30,'Fatores de Emissão'!L53*E69/1000000,IF($F$45='Fatores de Emissão'!$M$30,'Fatores de Emissão'!M53*E69/1000000,""))))</f>
        <v/>
      </c>
      <c r="H69" s="523" t="str">
        <f>IF($F$45='Fatores de Emissão'!$N$30,'Fatores de Emissão'!N53*E69/1000000,IF($F$45='Fatores de Emissão'!$O$30,'Fatores de Emissão'!O53*E69/1000000,IF($F$45='Fatores de Emissão'!$P$30,'Fatores de Emissão'!P53*E69/1000000,IF($F$45='Fatores de Emissão'!$Q$30,'Fatores de Emissão'!Q53*E69/1000000,""))))</f>
        <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t="str">
        <f>IF($F$45='Fatores de Emissão'!$J$30,'Fatores de Emissão'!J54*E70/1000000,IF($F$45='Fatores de Emissão'!$K$30,'Fatores de Emissão'!K54*E70/1000000,IF($F$45='Fatores de Emissão'!$L$30,'Fatores de Emissão'!L54*E70/1000000,IF($F$45='Fatores de Emissão'!$M$30,'Fatores de Emissão'!M54*E70/1000000,""))))</f>
        <v/>
      </c>
      <c r="H70" s="523" t="str">
        <f>IF($F$45='Fatores de Emissão'!$N$30,'Fatores de Emissão'!N54*E70/1000000,IF($F$45='Fatores de Emissão'!$O$30,'Fatores de Emissão'!O54*E70/1000000,IF($F$45='Fatores de Emissão'!$P$30,'Fatores de Emissão'!P54*E70/1000000,IF($F$45='Fatores de Emissão'!$Q$30,'Fatores de Emissão'!Q54*E70/1000000,""))))</f>
        <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t="str">
        <f>IF($F$45='Fatores de Emissão'!$J$30,'Fatores de Emissão'!J55*E71/1000000,IF($F$45='Fatores de Emissão'!$K$30,'Fatores de Emissão'!K55*E71/1000000,IF($F$45='Fatores de Emissão'!$L$30,'Fatores de Emissão'!L55*E71/1000000,IF($F$45='Fatores de Emissão'!$M$30,'Fatores de Emissão'!M55*E71/1000000,""))))</f>
        <v/>
      </c>
      <c r="H71" s="523" t="str">
        <f>IF($F$45='Fatores de Emissão'!$N$30,'Fatores de Emissão'!N55*E71/1000000,IF($F$45='Fatores de Emissão'!$O$30,'Fatores de Emissão'!O55*E71/1000000,IF($F$45='Fatores de Emissão'!$P$30,'Fatores de Emissão'!P55*E71/1000000,IF($F$45='Fatores de Emissão'!$Q$30,'Fatores de Emissão'!Q55*E71/1000000,""))))</f>
        <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t="str">
        <f>IF($F$45='Fatores de Emissão'!$J$30,'Fatores de Emissão'!J56*E72/1000000,IF($F$45='Fatores de Emissão'!$K$30,'Fatores de Emissão'!K56*E72/1000000,IF($F$45='Fatores de Emissão'!$L$30,'Fatores de Emissão'!L56*E72/1000000,IF($F$45='Fatores de Emissão'!$M$30,'Fatores de Emissão'!M56*E72/1000000,""))))</f>
        <v/>
      </c>
      <c r="H72" s="523" t="str">
        <f>IF($F$45='Fatores de Emissão'!$N$30,'Fatores de Emissão'!N56*E72/1000000,IF($F$45='Fatores de Emissão'!$O$30,'Fatores de Emissão'!O56*E72/1000000,IF($F$45='Fatores de Emissão'!$P$30,'Fatores de Emissão'!P56*E72/1000000,IF($F$45='Fatores de Emissão'!$Q$30,'Fatores de Emissão'!Q56*E72/1000000,""))))</f>
        <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t="str">
        <f>IF($F$45='Fatores de Emissão'!$J$30,'Fatores de Emissão'!J57*E73/1000000,IF($F$45='Fatores de Emissão'!$K$30,'Fatores de Emissão'!K57*E73/1000000,IF($F$45='Fatores de Emissão'!$L$30,'Fatores de Emissão'!L57*E73/1000000,IF($F$45='Fatores de Emissão'!$M$30,'Fatores de Emissão'!M57*E73/1000000,""))))</f>
        <v/>
      </c>
      <c r="H73" s="523" t="str">
        <f>IF($F$45='Fatores de Emissão'!$N$30,'Fatores de Emissão'!N57*E73/1000000,IF($F$45='Fatores de Emissão'!$O$30,'Fatores de Emissão'!O57*E73/1000000,IF($F$45='Fatores de Emissão'!$P$30,'Fatores de Emissão'!P57*E73/1000000,IF($F$45='Fatores de Emissão'!$Q$30,'Fatores de Emissão'!Q57*E73/1000000,""))))</f>
        <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t="str">
        <f>IF($F$45='Fatores de Emissão'!$J$30,'Fatores de Emissão'!J58*E74/1000000,IF($F$45='Fatores de Emissão'!$K$30,'Fatores de Emissão'!K58*E74/1000000,IF($F$45='Fatores de Emissão'!$L$30,'Fatores de Emissão'!L58*E74/1000000,IF($F$45='Fatores de Emissão'!$M$30,'Fatores de Emissão'!M58*E74/1000000,""))))</f>
        <v/>
      </c>
      <c r="H74" s="523" t="str">
        <f>IF($F$45='Fatores de Emissão'!$N$30,'Fatores de Emissão'!N58*E74/1000000,IF($F$45='Fatores de Emissão'!$O$30,'Fatores de Emissão'!O58*E74/1000000,IF($F$45='Fatores de Emissão'!$P$30,'Fatores de Emissão'!P58*E74/1000000,IF($F$45='Fatores de Emissão'!$Q$30,'Fatores de Emissão'!Q58*E74/1000000,""))))</f>
        <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t="str">
        <f>IF($F$45='Fatores de Emissão'!$J$30,'Fatores de Emissão'!J59*E75/1000000,IF($F$45='Fatores de Emissão'!$K$30,'Fatores de Emissão'!K59*E75/1000000,IF($F$45='Fatores de Emissão'!$L$30,'Fatores de Emissão'!L59*E75/1000000,IF($F$45='Fatores de Emissão'!$M$30,'Fatores de Emissão'!M59*E75/1000000,""))))</f>
        <v/>
      </c>
      <c r="H75" s="523" t="str">
        <f>IF($F$45='Fatores de Emissão'!$N$30,'Fatores de Emissão'!N59*E75/1000000,IF($F$45='Fatores de Emissão'!$O$30,'Fatores de Emissão'!O59*E75/1000000,IF($F$45='Fatores de Emissão'!$P$30,'Fatores de Emissão'!P59*E75/1000000,IF($F$45='Fatores de Emissão'!$Q$30,'Fatores de Emissão'!Q59*E75/1000000,""))))</f>
        <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t="str">
        <f>IF($F$45='Fatores de Emissão'!$J$30,'Fatores de Emissão'!J60*E76/1000000,IF($F$45='Fatores de Emissão'!$K$30,'Fatores de Emissão'!K60*E76/1000000,IF($F$45='Fatores de Emissão'!$L$30,'Fatores de Emissão'!L60*E76/1000000,IF($F$45='Fatores de Emissão'!$M$30,'Fatores de Emissão'!M60*E76/1000000,""))))</f>
        <v/>
      </c>
      <c r="H76" s="523" t="str">
        <f>IF($F$45='Fatores de Emissão'!$N$30,'Fatores de Emissão'!N60*E76/1000000,IF($F$45='Fatores de Emissão'!$O$30,'Fatores de Emissão'!O60*E76/1000000,IF($F$45='Fatores de Emissão'!$P$30,'Fatores de Emissão'!P60*E76/1000000,IF($F$45='Fatores de Emissão'!$Q$30,'Fatores de Emissão'!Q60*E76/1000000,""))))</f>
        <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t="str">
        <f>IF($F$45='Fatores de Emissão'!$J$30,'Fatores de Emissão'!J61*E77/1000000,IF($F$45='Fatores de Emissão'!$K$30,'Fatores de Emissão'!K61*E77/1000000,IF($F$45='Fatores de Emissão'!$L$30,'Fatores de Emissão'!L61*E77/1000000,IF($F$45='Fatores de Emissão'!$M$30,'Fatores de Emissão'!M61*E77/1000000,""))))</f>
        <v/>
      </c>
      <c r="H77" s="523" t="str">
        <f>IF($F$45='Fatores de Emissão'!$N$30,'Fatores de Emissão'!N61*E77/1000000,IF($F$45='Fatores de Emissão'!$O$30,'Fatores de Emissão'!O61*E77/1000000,IF($F$45='Fatores de Emissão'!$P$30,'Fatores de Emissão'!P61*E77/1000000,IF($F$45='Fatores de Emissão'!$Q$30,'Fatores de Emissão'!Q61*E77/1000000,""))))</f>
        <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t="str">
        <f>IF($F$45='Fatores de Emissão'!$J$30,'Fatores de Emissão'!J62*E78/1000000,IF($F$45='Fatores de Emissão'!$K$30,'Fatores de Emissão'!K62*E78/1000000,IF($F$45='Fatores de Emissão'!$L$30,'Fatores de Emissão'!L62*E78/1000000,IF($F$45='Fatores de Emissão'!$M$30,'Fatores de Emissão'!M62*E78/1000000,""))))</f>
        <v/>
      </c>
      <c r="H78" s="523" t="str">
        <f>IF($F$45='Fatores de Emissão'!$N$30,'Fatores de Emissão'!N62*E78/1000000,IF($F$45='Fatores de Emissão'!$O$30,'Fatores de Emissão'!O62*E78/1000000,IF($F$45='Fatores de Emissão'!$P$30,'Fatores de Emissão'!P62*E78/1000000,IF($F$45='Fatores de Emissão'!$Q$30,'Fatores de Emissão'!Q62*E78/1000000,""))))</f>
        <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t="str">
        <f>IF($F$45='Fatores de Emissão'!$J$30,'Fatores de Emissão'!J63*E79/1000000,IF($F$45='Fatores de Emissão'!$K$30,'Fatores de Emissão'!K63*E79/1000000,IF($F$45='Fatores de Emissão'!$L$30,'Fatores de Emissão'!L63*E79/1000000,IF($F$45='Fatores de Emissão'!$M$30,'Fatores de Emissão'!M63*E79/1000000,""))))</f>
        <v/>
      </c>
      <c r="H79" s="523" t="str">
        <f>IF($F$45='Fatores de Emissão'!$N$30,'Fatores de Emissão'!N63*E79/1000000,IF($F$45='Fatores de Emissão'!$O$30,'Fatores de Emissão'!O63*E79/1000000,IF($F$45='Fatores de Emissão'!$P$30,'Fatores de Emissão'!P63*E79/1000000,IF($F$45='Fatores de Emissão'!$Q$30,'Fatores de Emissão'!Q63*E79/1000000,""))))</f>
        <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t="str">
        <f>IF($F$45='Fatores de Emissão'!$J$30,'Fatores de Emissão'!J64*E80/1000000,IF($F$45='Fatores de Emissão'!$K$30,'Fatores de Emissão'!K64*E80/1000000,IF($F$45='Fatores de Emissão'!$L$30,'Fatores de Emissão'!L64*E80/1000000,IF($F$45='Fatores de Emissão'!$M$30,'Fatores de Emissão'!M64*E80/1000000,""))))</f>
        <v/>
      </c>
      <c r="H80" s="523" t="str">
        <f>IF($F$45='Fatores de Emissão'!$N$30,'Fatores de Emissão'!N64*E80/1000000,IF($F$45='Fatores de Emissão'!$O$30,'Fatores de Emissão'!O64*E80/1000000,IF($F$45='Fatores de Emissão'!$P$30,'Fatores de Emissão'!P64*E80/1000000,IF($F$45='Fatores de Emissão'!$Q$30,'Fatores de Emissão'!Q64*E80/1000000,""))))</f>
        <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t="str">
        <f>IF($F$45='Fatores de Emissão'!$J$30,'Fatores de Emissão'!J65*E81/1000000,IF($F$45='Fatores de Emissão'!$K$30,'Fatores de Emissão'!K65*E81/1000000,IF($F$45='Fatores de Emissão'!$L$30,'Fatores de Emissão'!L65*E81/1000000,IF($F$45='Fatores de Emissão'!$M$30,'Fatores de Emissão'!M65*E81/1000000,""))))</f>
        <v/>
      </c>
      <c r="H81" s="523" t="str">
        <f>IF($F$45='Fatores de Emissão'!$N$30,'Fatores de Emissão'!N65*E81/1000000,IF($F$45='Fatores de Emissão'!$O$30,'Fatores de Emissão'!O65*E81/1000000,IF($F$45='Fatores de Emissão'!$P$30,'Fatores de Emissão'!P65*E81/1000000,IF($F$45='Fatores de Emissão'!$Q$30,'Fatores de Emissão'!Q65*E81/1000000,""))))</f>
        <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t="str">
        <f>IF($F$45='Fatores de Emissão'!$J$30,'Fatores de Emissão'!J66*E82/1000000,IF($F$45='Fatores de Emissão'!$K$30,'Fatores de Emissão'!K66*E82/1000000,IF($F$45='Fatores de Emissão'!$L$30,'Fatores de Emissão'!L66*E82/1000000,IF($F$45='Fatores de Emissão'!$M$30,'Fatores de Emissão'!M66*E82/1000000,""))))</f>
        <v/>
      </c>
      <c r="H82" s="523" t="str">
        <f>IF($F$45='Fatores de Emissão'!$N$30,'Fatores de Emissão'!N66*E82/1000000,IF($F$45='Fatores de Emissão'!$O$30,'Fatores de Emissão'!O66*E82/1000000,IF($F$45='Fatores de Emissão'!$P$30,'Fatores de Emissão'!P66*E82/1000000,IF($F$45='Fatores de Emissão'!$Q$30,'Fatores de Emissão'!Q66*E82/1000000,""))))</f>
        <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t="str">
        <f>IF($F$45='Fatores de Emissão'!$J$30,'Fatores de Emissão'!J67*E83/1000000,IF($F$45='Fatores de Emissão'!$K$30,'Fatores de Emissão'!K67*E83/1000000,IF($F$45='Fatores de Emissão'!$L$30,'Fatores de Emissão'!L67*E83/1000000,IF($F$45='Fatores de Emissão'!$M$30,'Fatores de Emissão'!M67*E83/1000000,""))))</f>
        <v/>
      </c>
      <c r="H83" s="523" t="str">
        <f>IF($F$45='Fatores de Emissão'!$N$30,'Fatores de Emissão'!N67*E83/1000000,IF($F$45='Fatores de Emissão'!$O$30,'Fatores de Emissão'!O67*E83/1000000,IF($F$45='Fatores de Emissão'!$P$30,'Fatores de Emissão'!P67*E83/1000000,IF($F$45='Fatores de Emissão'!$Q$30,'Fatores de Emissão'!Q67*E83/1000000,""))))</f>
        <v/>
      </c>
      <c r="I83" s="529">
        <f>SUM(I47:I82)</f>
        <v>0</v>
      </c>
      <c r="J83" s="529">
        <f>SUM(J47:J82)</f>
        <v>0</v>
      </c>
      <c r="K83" s="529">
        <f>SUM(K47:K82)</f>
        <v>0</v>
      </c>
      <c r="L83" s="529">
        <f>SUM(L47:L82)</f>
        <v>0</v>
      </c>
      <c r="M83" s="366"/>
      <c r="N83" s="530">
        <f>SUM(N47:N82)</f>
        <v>0</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t="str">
        <f>IF($F$45='Fatores de Emissão'!$J$30,'Fatores de Emissão'!J68*E84/1000000,IF($F$45='Fatores de Emissão'!$K$30,'Fatores de Emissão'!K68*E84/1000000,IF($F$45='Fatores de Emissão'!$L$30,'Fatores de Emissão'!L68*E84/1000000,IF($F$45='Fatores de Emissão'!$M$30,'Fatores de Emissão'!M68*E84/1000000,""))))</f>
        <v/>
      </c>
      <c r="H84" s="523" t="str">
        <f>IF($F$45='Fatores de Emissão'!$N$30,'Fatores de Emissão'!N68*E84/1000000,IF($F$45='Fatores de Emissão'!$O$30,'Fatores de Emissão'!O68*E84/1000000,IF($F$45='Fatores de Emissão'!$P$30,'Fatores de Emissão'!P68*E84/1000000,IF($F$45='Fatores de Emissão'!$Q$30,'Fatores de Emissão'!Q68*E84/1000000,""))))</f>
        <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t="str">
        <f>IF($F$45='Fatores de Emissão'!$J$30,'Fatores de Emissão'!J69*E85/1000000,IF($F$45='Fatores de Emissão'!$K$30,'Fatores de Emissão'!K69*E85/1000000,IF($F$45='Fatores de Emissão'!$L$30,'Fatores de Emissão'!L69*E85/1000000,IF($F$45='Fatores de Emissão'!$M$30,'Fatores de Emissão'!M69*E85/1000000,""))))</f>
        <v/>
      </c>
      <c r="H85" s="523" t="str">
        <f>IF($F$45='Fatores de Emissão'!$N$30,'Fatores de Emissão'!N69*E85/1000000,IF($F$45='Fatores de Emissão'!$O$30,'Fatores de Emissão'!O69*E85/1000000,IF($F$45='Fatores de Emissão'!$P$30,'Fatores de Emissão'!P69*E85/1000000,IF($F$45='Fatores de Emissão'!$Q$30,'Fatores de Emissão'!Q69*E85/1000000,""))))</f>
        <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t="str">
        <f>IF($F$45='Fatores de Emissão'!$J$30,'Fatores de Emissão'!J70*E86/1000000,IF($F$45='Fatores de Emissão'!$K$30,'Fatores de Emissão'!K70*E86/1000000,IF($F$45='Fatores de Emissão'!$L$30,'Fatores de Emissão'!L70*E86/1000000,IF($F$45='Fatores de Emissão'!$M$30,'Fatores de Emissão'!M70*E86/1000000,""))))</f>
        <v/>
      </c>
      <c r="H86" s="523" t="str">
        <f>IF($F$45='Fatores de Emissão'!$N$30,'Fatores de Emissão'!N70*E86/1000000,IF($F$45='Fatores de Emissão'!$O$30,'Fatores de Emissão'!O70*E86/1000000,IF($F$45='Fatores de Emissão'!$P$30,'Fatores de Emissão'!P70*E86/1000000,IF($F$45='Fatores de Emissão'!$Q$30,'Fatores de Emissão'!Q70*E86/1000000,""))))</f>
        <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t="str">
        <f>IF($F$45='Fatores de Emissão'!$J$30,'Fatores de Emissão'!J71*E87/1000000,IF($F$45='Fatores de Emissão'!$K$30,'Fatores de Emissão'!K71*E87/1000000,IF($F$45='Fatores de Emissão'!$L$30,'Fatores de Emissão'!L71*E87/1000000,IF($F$45='Fatores de Emissão'!$M$30,'Fatores de Emissão'!M71*E87/1000000,""))))</f>
        <v/>
      </c>
      <c r="H87" s="523" t="str">
        <f>IF($F$45='Fatores de Emissão'!$N$30,'Fatores de Emissão'!N71*E87/1000000,IF($F$45='Fatores de Emissão'!$O$30,'Fatores de Emissão'!O71*E87/1000000,IF($F$45='Fatores de Emissão'!$P$30,'Fatores de Emissão'!P71*E87/1000000,IF($F$45='Fatores de Emissão'!$Q$30,'Fatores de Emissão'!Q71*E87/1000000,""))))</f>
        <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t="str">
        <f>IF($F$45='Fatores de Emissão'!$J$30,'Fatores de Emissão'!J72*E88/1000000,IF($F$45='Fatores de Emissão'!$K$30,'Fatores de Emissão'!K72*E88/1000000,IF($F$45='Fatores de Emissão'!$L$30,'Fatores de Emissão'!L72*E88/1000000,IF($F$45='Fatores de Emissão'!$M$30,'Fatores de Emissão'!M72*E88/1000000,""))))</f>
        <v/>
      </c>
      <c r="H88" s="523" t="str">
        <f>IF($F$45='Fatores de Emissão'!$N$30,'Fatores de Emissão'!N72*E88/1000000,IF($F$45='Fatores de Emissão'!$O$30,'Fatores de Emissão'!O72*E88/1000000,IF($F$45='Fatores de Emissão'!$P$30,'Fatores de Emissão'!P72*E88/1000000,IF($F$45='Fatores de Emissão'!$Q$30,'Fatores de Emissão'!Q72*E88/1000000,""))))</f>
        <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t="str">
        <f>IF($F$45='Fatores de Emissão'!$J$30,'Fatores de Emissão'!J73*E89/1000000,IF($F$45='Fatores de Emissão'!$K$30,'Fatores de Emissão'!K73*E89/1000000,IF($F$45='Fatores de Emissão'!$L$30,'Fatores de Emissão'!L73*E89/1000000,IF($F$45='Fatores de Emissão'!$M$30,'Fatores de Emissão'!M73*E89/1000000,""))))</f>
        <v/>
      </c>
      <c r="H89" s="523" t="str">
        <f>IF($F$45='Fatores de Emissão'!$N$30,'Fatores de Emissão'!N73*E89/1000000,IF($F$45='Fatores de Emissão'!$O$30,'Fatores de Emissão'!O73*E89/1000000,IF($F$45='Fatores de Emissão'!$P$30,'Fatores de Emissão'!P73*E89/1000000,IF($F$45='Fatores de Emissão'!$Q$30,'Fatores de Emissão'!Q73*E89/1000000,""))))</f>
        <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t="str">
        <f>IF($F$45='Fatores de Emissão'!$J$30,'Fatores de Emissão'!J74*E90/1000000,IF($F$45='Fatores de Emissão'!$K$30,'Fatores de Emissão'!K74*E90/1000000,IF($F$45='Fatores de Emissão'!$L$30,'Fatores de Emissão'!L74*E90/1000000,IF($F$45='Fatores de Emissão'!$M$30,'Fatores de Emissão'!M74*E90/1000000,""))))</f>
        <v/>
      </c>
      <c r="H90" s="523" t="str">
        <f>IF($F$45='Fatores de Emissão'!$N$30,'Fatores de Emissão'!N74*E90/1000000,IF($F$45='Fatores de Emissão'!$O$30,'Fatores de Emissão'!O74*E90/1000000,IF($F$45='Fatores de Emissão'!$P$30,'Fatores de Emissão'!P74*E90/1000000,IF($F$45='Fatores de Emissão'!$Q$30,'Fatores de Emissão'!Q74*E90/1000000,""))))</f>
        <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t="str">
        <f>IF($F$45='Fatores de Emissão'!$J$30,'Fatores de Emissão'!J75*E91/1000000,IF($F$45='Fatores de Emissão'!$K$30,'Fatores de Emissão'!K75*E91/1000000,IF($F$45='Fatores de Emissão'!$L$30,'Fatores de Emissão'!L75*E91/1000000,IF($F$45='Fatores de Emissão'!$M$30,'Fatores de Emissão'!M75*E91/1000000,""))))</f>
        <v/>
      </c>
      <c r="H91" s="523" t="str">
        <f>IF($F$45='Fatores de Emissão'!$N$30,'Fatores de Emissão'!N75*E91/1000000,IF($F$45='Fatores de Emissão'!$O$30,'Fatores de Emissão'!O75*E91/1000000,IF($F$45='Fatores de Emissão'!$P$30,'Fatores de Emissão'!P75*E91/1000000,IF($F$45='Fatores de Emissão'!$Q$30,'Fatores de Emissão'!Q75*E91/1000000,""))))</f>
        <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t="str">
        <f>IF($F$45='Fatores de Emissão'!$J$30,'Fatores de Emissão'!J76*E92/1000000,IF($F$45='Fatores de Emissão'!$K$30,'Fatores de Emissão'!K76*E92/1000000,IF($F$45='Fatores de Emissão'!$L$30,'Fatores de Emissão'!L76*E92/1000000,IF($F$45='Fatores de Emissão'!$M$30,'Fatores de Emissão'!M76*E92/1000000,""))))</f>
        <v/>
      </c>
      <c r="H92" s="523" t="str">
        <f>IF($F$45='Fatores de Emissão'!$N$30,'Fatores de Emissão'!N76*E92/1000000,IF($F$45='Fatores de Emissão'!$O$30,'Fatores de Emissão'!O76*E92/1000000,IF($F$45='Fatores de Emissão'!$P$30,'Fatores de Emissão'!P76*E92/1000000,IF($F$45='Fatores de Emissão'!$Q$30,'Fatores de Emissão'!Q76*E92/1000000,""))))</f>
        <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093" t="s">
        <v>42</v>
      </c>
      <c r="C99" s="1093" t="s">
        <v>479</v>
      </c>
      <c r="D99" s="1096"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094"/>
      <c r="C100" s="1094"/>
      <c r="D100" s="1097"/>
      <c r="F100" s="517">
        <f>'Combustão Estacionária'!D37</f>
        <v>0</v>
      </c>
      <c r="G100" s="518"/>
      <c r="H100" s="519"/>
      <c r="I100" s="484"/>
      <c r="J100" s="484"/>
      <c r="K100" s="484"/>
      <c r="L100" s="484"/>
      <c r="M100" s="484"/>
      <c r="N100" s="484"/>
    </row>
    <row r="101" spans="1:14" s="314" customFormat="1" ht="16.95" customHeight="1" outlineLevel="1" x14ac:dyDescent="0.3">
      <c r="B101" s="1095"/>
      <c r="C101" s="1095"/>
      <c r="D101" s="1098"/>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t="e">
        <f>IF(FACE!$F$45='Fatores de Emissão'!$J$30,'Fatores de Emissão'!J31,IF(FACE!$F$45='Fatores de Emissão'!$K$30,'Fatores de Emissão'!K31,IF(FACE!$F$45='Fatores de Emissão'!$L$30,'Fatores de Emissão'!L31,IF(FACE!$F$45='Fatores de Emissão'!$M$30,'Fatores de Emissão'!M31,""))))*1000</f>
        <v>#VALUE!</v>
      </c>
      <c r="H102" s="536" t="e">
        <f>IF($F$100='Fatores de Emissão'!$N$30,'Fatores de Emissão'!N31,IF($F$100='Fatores de Emissão'!$O$30,'Fatores de Emissão'!O31,IF($F$100='Fatores de Emissão'!$P$30,'Fatores de Emissão'!P31,IF($F$100='Fatores de Emissão'!$Q$30,'Fatores de Emissão'!Q31,""))))*1000</f>
        <v>#VALUE!</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t="e">
        <f>IF(FACE!$F$45='Fatores de Emissão'!$J$30,'Fatores de Emissão'!J32,IF(FACE!$F$45='Fatores de Emissão'!$K$30,'Fatores de Emissão'!K32,IF(FACE!$F$45='Fatores de Emissão'!$L$30,'Fatores de Emissão'!L32,IF(FACE!$F$45='Fatores de Emissão'!$M$30,'Fatores de Emissão'!M32,""))))*1000</f>
        <v>#VALUE!</v>
      </c>
      <c r="H103" s="536" t="e">
        <f>IF($F$100='Fatores de Emissão'!$N$30,'Fatores de Emissão'!N32,IF($F$100='Fatores de Emissão'!$O$30,'Fatores de Emissão'!O32,IF($F$100='Fatores de Emissão'!$P$30,'Fatores de Emissão'!P32,IF($F$100='Fatores de Emissão'!$Q$30,'Fatores de Emissão'!Q32,""))))*1000</f>
        <v>#VALUE!</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t="e">
        <f>IF(FACE!$F$45='Fatores de Emissão'!$J$30,'Fatores de Emissão'!J33,IF(FACE!$F$45='Fatores de Emissão'!$K$30,'Fatores de Emissão'!K33,IF(FACE!$F$45='Fatores de Emissão'!$L$30,'Fatores de Emissão'!L33,IF(FACE!$F$45='Fatores de Emissão'!$M$30,'Fatores de Emissão'!M33,""))))*1000</f>
        <v>#VALUE!</v>
      </c>
      <c r="H104" s="536" t="e">
        <f>IF($F$100='Fatores de Emissão'!$N$30,'Fatores de Emissão'!N33,IF($F$100='Fatores de Emissão'!$O$30,'Fatores de Emissão'!O33,IF($F$100='Fatores de Emissão'!$P$30,'Fatores de Emissão'!P33,IF($F$100='Fatores de Emissão'!$Q$30,'Fatores de Emissão'!Q33,""))))*1000</f>
        <v>#VALUE!</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t="e">
        <f>IF(FACE!$F$45='Fatores de Emissão'!$J$30,'Fatores de Emissão'!J34,IF(FACE!$F$45='Fatores de Emissão'!$K$30,'Fatores de Emissão'!K34,IF(FACE!$F$45='Fatores de Emissão'!$L$30,'Fatores de Emissão'!L34,IF(FACE!$F$45='Fatores de Emissão'!$M$30,'Fatores de Emissão'!M34,""))))*1000</f>
        <v>#VALUE!</v>
      </c>
      <c r="H105" s="536" t="e">
        <f>IF($F$100='Fatores de Emissão'!$N$30,'Fatores de Emissão'!N34,IF($F$100='Fatores de Emissão'!$O$30,'Fatores de Emissão'!O34,IF($F$100='Fatores de Emissão'!$P$30,'Fatores de Emissão'!P34,IF($F$100='Fatores de Emissão'!$Q$30,'Fatores de Emissão'!Q34,""))))*1000</f>
        <v>#VALUE!</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t="e">
        <f>IF(FACE!$F$45='Fatores de Emissão'!$J$30,'Fatores de Emissão'!J35,IF(FACE!$F$45='Fatores de Emissão'!$K$30,'Fatores de Emissão'!K35,IF(FACE!$F$45='Fatores de Emissão'!$L$30,'Fatores de Emissão'!L35,IF(FACE!$F$45='Fatores de Emissão'!$M$30,'Fatores de Emissão'!M35,""))))*1000</f>
        <v>#VALUE!</v>
      </c>
      <c r="H106" s="536" t="e">
        <f>IF($F$100='Fatores de Emissão'!$N$30,'Fatores de Emissão'!N35,IF($F$100='Fatores de Emissão'!$O$30,'Fatores de Emissão'!O35,IF($F$100='Fatores de Emissão'!$P$30,'Fatores de Emissão'!P35,IF($F$100='Fatores de Emissão'!$Q$30,'Fatores de Emissão'!Q35,""))))*1000</f>
        <v>#VALUE!</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t="e">
        <f>IF(FACE!$F$45='Fatores de Emissão'!$J$30,'Fatores de Emissão'!J51,IF(FACE!$F$45='Fatores de Emissão'!$K$30,'Fatores de Emissão'!K51,IF(FACE!$F$45='Fatores de Emissão'!$L$30,'Fatores de Emissão'!L51,IF(FACE!$F$45='Fatores de Emissão'!$M$30,'Fatores de Emissão'!M51,""))))*1000</f>
        <v>#VALUE!</v>
      </c>
      <c r="H107" s="536" t="e">
        <f>IF($F$100='Fatores de Emissão'!$N$30,'Fatores de Emissão'!N51,IF($F$100='Fatores de Emissão'!$O$30,'Fatores de Emissão'!O51,IF($F$100='Fatores de Emissão'!$P$30,'Fatores de Emissão'!P51,IF($F$100='Fatores de Emissão'!$Q$30,'Fatores de Emissão'!Q51,""))))*1000</f>
        <v>#VALUE!</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t="e">
        <f>IF(FACE!$F$45='Fatores de Emissão'!$J$30,'Fatores de Emissão'!J36,IF(FACE!$F$45='Fatores de Emissão'!$K$30,'Fatores de Emissão'!K36,IF(FACE!$F$45='Fatores de Emissão'!$L$30,'Fatores de Emissão'!L36,IF(FACE!$F$45='Fatores de Emissão'!$M$30,'Fatores de Emissão'!M36,""))))*1000</f>
        <v>#VALUE!</v>
      </c>
      <c r="H108" s="536" t="e">
        <f>IF($F$100='Fatores de Emissão'!$N$30,'Fatores de Emissão'!N36,IF($F$100='Fatores de Emissão'!$O$30,'Fatores de Emissão'!O36,IF($F$100='Fatores de Emissão'!$P$30,'Fatores de Emissão'!P36,IF($F$100='Fatores de Emissão'!$Q$30,'Fatores de Emissão'!Q36,""))))*1000</f>
        <v>#VALUE!</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t="e">
        <f>IF(FACE!$F$45='Fatores de Emissão'!$J$30,'Fatores de Emissão'!J37,IF(FACE!$F$45='Fatores de Emissão'!$K$30,'Fatores de Emissão'!K37,IF(FACE!$F$45='Fatores de Emissão'!$L$30,'Fatores de Emissão'!L37,IF(FACE!$F$45='Fatores de Emissão'!$M$30,'Fatores de Emissão'!M37,""))))*1000</f>
        <v>#VALUE!</v>
      </c>
      <c r="H109" s="536" t="e">
        <f>IF($F$100='Fatores de Emissão'!$N$30,'Fatores de Emissão'!N37,IF($F$100='Fatores de Emissão'!$O$30,'Fatores de Emissão'!O37,IF($F$100='Fatores de Emissão'!$P$30,'Fatores de Emissão'!P37,IF($F$100='Fatores de Emissão'!$Q$30,'Fatores de Emissão'!Q37,""))))*1000</f>
        <v>#VALUE!</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t="e">
        <f>IF(FACE!$F$45='Fatores de Emissão'!$J$30,'Fatores de Emissão'!J38,IF(FACE!$F$45='Fatores de Emissão'!$K$30,'Fatores de Emissão'!K38,IF(FACE!$F$45='Fatores de Emissão'!$L$30,'Fatores de Emissão'!L38,IF(FACE!$F$45='Fatores de Emissão'!$M$30,'Fatores de Emissão'!M38,""))))*1000</f>
        <v>#VALUE!</v>
      </c>
      <c r="H110" s="536" t="e">
        <f>IF($F$100='Fatores de Emissão'!$N$30,'Fatores de Emissão'!N38,IF($F$100='Fatores de Emissão'!$O$30,'Fatores de Emissão'!O38,IF($F$100='Fatores de Emissão'!$P$30,'Fatores de Emissão'!P38,IF($F$100='Fatores de Emissão'!$Q$30,'Fatores de Emissão'!Q38,""))))*1000</f>
        <v>#VALUE!</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t="e">
        <f>IF(FACE!$F$45='Fatores de Emissão'!$J$30,'Fatores de Emissão'!J39,IF(FACE!$F$45='Fatores de Emissão'!$K$30,'Fatores de Emissão'!K39,IF(FACE!$F$45='Fatores de Emissão'!$L$30,'Fatores de Emissão'!L39,IF(FACE!$F$45='Fatores de Emissão'!$M$30,'Fatores de Emissão'!M39,""))))*1000</f>
        <v>#VALUE!</v>
      </c>
      <c r="H111" s="536" t="e">
        <f>IF($F$100='Fatores de Emissão'!$N$30,'Fatores de Emissão'!N39,IF($F$100='Fatores de Emissão'!$O$30,'Fatores de Emissão'!O39,IF($F$100='Fatores de Emissão'!$P$30,'Fatores de Emissão'!P39,IF($F$100='Fatores de Emissão'!$Q$30,'Fatores de Emissão'!Q39,""))))*1000</f>
        <v>#VALUE!</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t="e">
        <f>IF(FACE!$F$45='Fatores de Emissão'!$J$30,'Fatores de Emissão'!J40,IF(FACE!$F$45='Fatores de Emissão'!$K$30,'Fatores de Emissão'!K40,IF(FACE!$F$45='Fatores de Emissão'!$L$30,'Fatores de Emissão'!L40,IF(FACE!$F$45='Fatores de Emissão'!$M$30,'Fatores de Emissão'!M40,""))))*1000</f>
        <v>#VALUE!</v>
      </c>
      <c r="H112" s="536" t="e">
        <f>IF($F$100='Fatores de Emissão'!$N$30,'Fatores de Emissão'!N40,IF($F$100='Fatores de Emissão'!$O$30,'Fatores de Emissão'!O40,IF($F$100='Fatores de Emissão'!$P$30,'Fatores de Emissão'!P40,IF($F$100='Fatores de Emissão'!$Q$30,'Fatores de Emissão'!Q40,""))))*1000</f>
        <v>#VALUE!</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t="e">
        <f>IF(FACE!$F$45='Fatores de Emissão'!$J$30,'Fatores de Emissão'!J41,IF(FACE!$F$45='Fatores de Emissão'!$K$30,'Fatores de Emissão'!K41,IF(FACE!$F$45='Fatores de Emissão'!$L$30,'Fatores de Emissão'!L41,IF(FACE!$F$45='Fatores de Emissão'!$M$30,'Fatores de Emissão'!M41,""))))*1000</f>
        <v>#VALUE!</v>
      </c>
      <c r="H113" s="536" t="e">
        <f>IF($F$100='Fatores de Emissão'!$N$30,'Fatores de Emissão'!N41,IF($F$100='Fatores de Emissão'!$O$30,'Fatores de Emissão'!O41,IF($F$100='Fatores de Emissão'!$P$30,'Fatores de Emissão'!P41,IF($F$100='Fatores de Emissão'!$Q$30,'Fatores de Emissão'!Q41,""))))*1000</f>
        <v>#VALUE!</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t="e">
        <f>IF(FACE!$F$45='Fatores de Emissão'!$J$30,'Fatores de Emissão'!J42,IF(FACE!$F$45='Fatores de Emissão'!$K$30,'Fatores de Emissão'!K42,IF(FACE!$F$45='Fatores de Emissão'!$L$30,'Fatores de Emissão'!L42,IF(FACE!$F$45='Fatores de Emissão'!$M$30,'Fatores de Emissão'!M42,""))))*1000</f>
        <v>#VALUE!</v>
      </c>
      <c r="H114" s="536" t="e">
        <f>IF($F$100='Fatores de Emissão'!$N$30,'Fatores de Emissão'!N42,IF($F$100='Fatores de Emissão'!$O$30,'Fatores de Emissão'!O42,IF($F$100='Fatores de Emissão'!$P$30,'Fatores de Emissão'!P42,IF($F$100='Fatores de Emissão'!$Q$30,'Fatores de Emissão'!Q42,""))))*1000</f>
        <v>#VALUE!</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t="e">
        <f>IF(FACE!$F$45='Fatores de Emissão'!$J$30,'Fatores de Emissão'!J43,IF(FACE!$F$45='Fatores de Emissão'!$K$30,'Fatores de Emissão'!K43,IF(FACE!$F$45='Fatores de Emissão'!$L$30,'Fatores de Emissão'!L43,IF(FACE!$F$45='Fatores de Emissão'!$M$30,'Fatores de Emissão'!M43,""))))*1000</f>
        <v>#VALUE!</v>
      </c>
      <c r="H115" s="536" t="e">
        <f>IF($F$100='Fatores de Emissão'!$N$30,'Fatores de Emissão'!N43,IF($F$100='Fatores de Emissão'!$O$30,'Fatores de Emissão'!O43,IF($F$100='Fatores de Emissão'!$P$30,'Fatores de Emissão'!P43,IF($F$100='Fatores de Emissão'!$Q$30,'Fatores de Emissão'!Q43,""))))*1000</f>
        <v>#VALUE!</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t="e">
        <f>IF(FACE!$F$45='Fatores de Emissão'!$J$30,'Fatores de Emissão'!J44,IF(FACE!$F$45='Fatores de Emissão'!$K$30,'Fatores de Emissão'!K44,IF(FACE!$F$45='Fatores de Emissão'!$L$30,'Fatores de Emissão'!L44,IF(FACE!$F$45='Fatores de Emissão'!$M$30,'Fatores de Emissão'!M44,""))))*1000</f>
        <v>#VALUE!</v>
      </c>
      <c r="H116" s="536" t="e">
        <f>IF($F$100='Fatores de Emissão'!$N$30,'Fatores de Emissão'!N44,IF($F$100='Fatores de Emissão'!$O$30,'Fatores de Emissão'!O44,IF($F$100='Fatores de Emissão'!$P$30,'Fatores de Emissão'!P44,IF($F$100='Fatores de Emissão'!$Q$30,'Fatores de Emissão'!Q44,""))))*1000</f>
        <v>#VALUE!</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t="e">
        <f>IF(FACE!$F$45='Fatores de Emissão'!$J$30,'Fatores de Emissão'!J45,IF(FACE!$F$45='Fatores de Emissão'!$K$30,'Fatores de Emissão'!K45,IF(FACE!$F$45='Fatores de Emissão'!$L$30,'Fatores de Emissão'!L45,IF(FACE!$F$45='Fatores de Emissão'!$M$30,'Fatores de Emissão'!M45,""))))*1000</f>
        <v>#VALUE!</v>
      </c>
      <c r="H117" s="536" t="e">
        <f>IF($F$100='Fatores de Emissão'!$N$30,'Fatores de Emissão'!N45,IF($F$100='Fatores de Emissão'!$O$30,'Fatores de Emissão'!O45,IF($F$100='Fatores de Emissão'!$P$30,'Fatores de Emissão'!P45,IF($F$100='Fatores de Emissão'!$Q$30,'Fatores de Emissão'!Q45,""))))*1000</f>
        <v>#VALUE!</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t="e">
        <f>IF(FACE!$F$45='Fatores de Emissão'!$J$30,'Fatores de Emissão'!J46,IF(FACE!$F$45='Fatores de Emissão'!$K$30,'Fatores de Emissão'!K46,IF(FACE!$F$45='Fatores de Emissão'!$L$30,'Fatores de Emissão'!L46,IF(FACE!$F$45='Fatores de Emissão'!$M$30,'Fatores de Emissão'!M46,""))))*1000</f>
        <v>#VALUE!</v>
      </c>
      <c r="H118" s="536" t="e">
        <f>IF($F$100='Fatores de Emissão'!$N$30,'Fatores de Emissão'!N46,IF($F$100='Fatores de Emissão'!$O$30,'Fatores de Emissão'!O46,IF($F$100='Fatores de Emissão'!$P$30,'Fatores de Emissão'!P46,IF($F$100='Fatores de Emissão'!$Q$30,'Fatores de Emissão'!Q46,""))))*1000</f>
        <v>#VALUE!</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t="e">
        <f>IF(FACE!$F$45='Fatores de Emissão'!$J$30,'Fatores de Emissão'!J47,IF(FACE!$F$45='Fatores de Emissão'!$K$30,'Fatores de Emissão'!K47,IF(FACE!$F$45='Fatores de Emissão'!$L$30,'Fatores de Emissão'!L47,IF(FACE!$F$45='Fatores de Emissão'!$M$30,'Fatores de Emissão'!M47,""))))*1000</f>
        <v>#VALUE!</v>
      </c>
      <c r="H119" s="536" t="e">
        <f>IF($F$100='Fatores de Emissão'!$N$30,'Fatores de Emissão'!N47,IF($F$100='Fatores de Emissão'!$O$30,'Fatores de Emissão'!O47,IF($F$100='Fatores de Emissão'!$P$30,'Fatores de Emissão'!P47,IF($F$100='Fatores de Emissão'!$Q$30,'Fatores de Emissão'!Q47,""))))*1000</f>
        <v>#VALUE!</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t="e">
        <f>IF(FACE!$F$45='Fatores de Emissão'!$J$30,'Fatores de Emissão'!J48,IF(FACE!$F$45='Fatores de Emissão'!$K$30,'Fatores de Emissão'!K48,IF(FACE!$F$45='Fatores de Emissão'!$L$30,'Fatores de Emissão'!L48,IF(FACE!$F$45='Fatores de Emissão'!$M$30,'Fatores de Emissão'!M48,""))))*1000</f>
        <v>#VALUE!</v>
      </c>
      <c r="H120" s="536" t="e">
        <f>IF($F$100='Fatores de Emissão'!$N$30,'Fatores de Emissão'!N48,IF($F$100='Fatores de Emissão'!$O$30,'Fatores de Emissão'!O48,IF($F$100='Fatores de Emissão'!$P$30,'Fatores de Emissão'!P48,IF($F$100='Fatores de Emissão'!$Q$30,'Fatores de Emissão'!Q48,""))))*1000</f>
        <v>#VALUE!</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t="e">
        <f>IF(FACE!$F$45='Fatores de Emissão'!$J$30,'Fatores de Emissão'!J49,IF(FACE!$F$45='Fatores de Emissão'!$K$30,'Fatores de Emissão'!K49,IF(FACE!$F$45='Fatores de Emissão'!$L$30,'Fatores de Emissão'!L49,IF(FACE!$F$45='Fatores de Emissão'!$M$30,'Fatores de Emissão'!M49,""))))*1000</f>
        <v>#VALUE!</v>
      </c>
      <c r="H121" s="536" t="e">
        <f>IF($F$100='Fatores de Emissão'!$N$30,'Fatores de Emissão'!N49,IF($F$100='Fatores de Emissão'!$O$30,'Fatores de Emissão'!O49,IF($F$100='Fatores de Emissão'!$P$30,'Fatores de Emissão'!P49,IF($F$100='Fatores de Emissão'!$Q$30,'Fatores de Emissão'!Q49,""))))*1000</f>
        <v>#VALUE!</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t="e">
        <f>IF(FACE!$F$45='Fatores de Emissão'!$J$30,'Fatores de Emissão'!J50,IF(FACE!$F$45='Fatores de Emissão'!$K$30,'Fatores de Emissão'!K50,IF(FACE!$F$45='Fatores de Emissão'!$L$30,'Fatores de Emissão'!L50,IF(FACE!$F$45='Fatores de Emissão'!$M$30,'Fatores de Emissão'!M50,""))))*1000</f>
        <v>#VALUE!</v>
      </c>
      <c r="H122" s="536" t="e">
        <f>IF($F$100='Fatores de Emissão'!$N$30,'Fatores de Emissão'!N50,IF($F$100='Fatores de Emissão'!$O$30,'Fatores de Emissão'!O50,IF($F$100='Fatores de Emissão'!$P$30,'Fatores de Emissão'!P50,IF($F$100='Fatores de Emissão'!$Q$30,'Fatores de Emissão'!Q50,""))))*1000</f>
        <v>#VALUE!</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t="e">
        <f>IF(FACE!$F$45='Fatores de Emissão'!$J$30,'Fatores de Emissão'!J52,IF(FACE!$F$45='Fatores de Emissão'!$K$30,'Fatores de Emissão'!K52,IF(FACE!$F$45='Fatores de Emissão'!$L$30,'Fatores de Emissão'!L52,IF(FACE!$F$45='Fatores de Emissão'!$M$30,'Fatores de Emissão'!M52,""))))*1000</f>
        <v>#VALUE!</v>
      </c>
      <c r="H123" s="536" t="e">
        <f>IF($F$100='Fatores de Emissão'!$N$30,'Fatores de Emissão'!N52,IF($F$100='Fatores de Emissão'!$O$30,'Fatores de Emissão'!O52,IF($F$100='Fatores de Emissão'!$P$30,'Fatores de Emissão'!P52,IF($F$100='Fatores de Emissão'!$Q$30,'Fatores de Emissão'!Q52,""))))*1000</f>
        <v>#VALUE!</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t="e">
        <f>IF(FACE!$F$45='Fatores de Emissão'!$J$30,'Fatores de Emissão'!J53,IF(FACE!$F$45='Fatores de Emissão'!$K$30,'Fatores de Emissão'!K53,IF(FACE!$F$45='Fatores de Emissão'!$L$30,'Fatores de Emissão'!L53,IF(FACE!$F$45='Fatores de Emissão'!$M$30,'Fatores de Emissão'!M53,""))))*1000</f>
        <v>#VALUE!</v>
      </c>
      <c r="H124" s="536" t="e">
        <f>IF($F$100='Fatores de Emissão'!$N$30,'Fatores de Emissão'!N53,IF($F$100='Fatores de Emissão'!$O$30,'Fatores de Emissão'!O53,IF($F$100='Fatores de Emissão'!$P$30,'Fatores de Emissão'!P53,IF($F$100='Fatores de Emissão'!$Q$30,'Fatores de Emissão'!Q53,""))))*1000</f>
        <v>#VALUE!</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t="e">
        <f>IF(FACE!$F$45='Fatores de Emissão'!$J$30,'Fatores de Emissão'!J54,IF(FACE!$F$45='Fatores de Emissão'!$K$30,'Fatores de Emissão'!K54,IF(FACE!$F$45='Fatores de Emissão'!$L$30,'Fatores de Emissão'!L54,IF(FACE!$F$45='Fatores de Emissão'!$M$30,'Fatores de Emissão'!M54,""))))*1000</f>
        <v>#VALUE!</v>
      </c>
      <c r="H125" s="536" t="e">
        <f>IF($F$100='Fatores de Emissão'!$N$30,'Fatores de Emissão'!N54,IF($F$100='Fatores de Emissão'!$O$30,'Fatores de Emissão'!O54,IF($F$100='Fatores de Emissão'!$P$30,'Fatores de Emissão'!P54,IF($F$100='Fatores de Emissão'!$Q$30,'Fatores de Emissão'!Q54,""))))*1000</f>
        <v>#VALUE!</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t="e">
        <f>IF(FACE!$F$45='Fatores de Emissão'!$J$30,'Fatores de Emissão'!J55,IF(FACE!$F$45='Fatores de Emissão'!$K$30,'Fatores de Emissão'!K55,IF(FACE!$F$45='Fatores de Emissão'!$L$30,'Fatores de Emissão'!L55,IF(FACE!$F$45='Fatores de Emissão'!$M$30,'Fatores de Emissão'!M55,""))))*1000</f>
        <v>#VALUE!</v>
      </c>
      <c r="H126" s="536" t="e">
        <f>IF($F$100='Fatores de Emissão'!$N$30,'Fatores de Emissão'!N55,IF($F$100='Fatores de Emissão'!$O$30,'Fatores de Emissão'!O55,IF($F$100='Fatores de Emissão'!$P$30,'Fatores de Emissão'!P55,IF($F$100='Fatores de Emissão'!$Q$30,'Fatores de Emissão'!Q55,""))))*1000</f>
        <v>#VALUE!</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t="e">
        <f>IF(FACE!$F$45='Fatores de Emissão'!$J$30,'Fatores de Emissão'!J56,IF(FACE!$F$45='Fatores de Emissão'!$K$30,'Fatores de Emissão'!K56,IF(FACE!$F$45='Fatores de Emissão'!$L$30,'Fatores de Emissão'!L56,IF(FACE!$F$45='Fatores de Emissão'!$M$30,'Fatores de Emissão'!M56,""))))*1000</f>
        <v>#VALUE!</v>
      </c>
      <c r="H127" s="536" t="e">
        <f>IF($F$100='Fatores de Emissão'!$N$30,'Fatores de Emissão'!N56,IF($F$100='Fatores de Emissão'!$O$30,'Fatores de Emissão'!O56,IF($F$100='Fatores de Emissão'!$P$30,'Fatores de Emissão'!P56,IF($F$100='Fatores de Emissão'!$Q$30,'Fatores de Emissão'!Q56,""))))*1000</f>
        <v>#VALUE!</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t="e">
        <f>IF(FACE!$F$45='Fatores de Emissão'!$J$30,'Fatores de Emissão'!J57,IF(FACE!$F$45='Fatores de Emissão'!$K$30,'Fatores de Emissão'!K57,IF(FACE!$F$45='Fatores de Emissão'!$L$30,'Fatores de Emissão'!L57,IF(FACE!$F$45='Fatores de Emissão'!$M$30,'Fatores de Emissão'!M57,""))))*1000</f>
        <v>#VALUE!</v>
      </c>
      <c r="H128" s="536" t="e">
        <f>IF($F$100='Fatores de Emissão'!$N$30,'Fatores de Emissão'!N57,IF($F$100='Fatores de Emissão'!$O$30,'Fatores de Emissão'!O57,IF($F$100='Fatores de Emissão'!$P$30,'Fatores de Emissão'!P57,IF($F$100='Fatores de Emissão'!$Q$30,'Fatores de Emissão'!Q57,""))))*1000</f>
        <v>#VALUE!</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t="e">
        <f>IF(FACE!$F$45='Fatores de Emissão'!$J$30,'Fatores de Emissão'!J58,IF(FACE!$F$45='Fatores de Emissão'!$K$30,'Fatores de Emissão'!K58,IF(FACE!$F$45='Fatores de Emissão'!$L$30,'Fatores de Emissão'!L58,IF(FACE!$F$45='Fatores de Emissão'!$M$30,'Fatores de Emissão'!M58,""))))*1000</f>
        <v>#VALUE!</v>
      </c>
      <c r="H129" s="536" t="e">
        <f>IF($F$100='Fatores de Emissão'!$N$30,'Fatores de Emissão'!N58,IF($F$100='Fatores de Emissão'!$O$30,'Fatores de Emissão'!O58,IF($F$100='Fatores de Emissão'!$P$30,'Fatores de Emissão'!P58,IF($F$100='Fatores de Emissão'!$Q$30,'Fatores de Emissão'!Q58,""))))*1000</f>
        <v>#VALUE!</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t="e">
        <f>IF(FACE!$F$45='Fatores de Emissão'!$J$30,'Fatores de Emissão'!J59,IF(FACE!$F$45='Fatores de Emissão'!$K$30,'Fatores de Emissão'!K59,IF(FACE!$F$45='Fatores de Emissão'!$L$30,'Fatores de Emissão'!L59,IF(FACE!$F$45='Fatores de Emissão'!$M$30,'Fatores de Emissão'!M59,""))))*1000</f>
        <v>#VALUE!</v>
      </c>
      <c r="H130" s="536" t="e">
        <f>IF($F$100='Fatores de Emissão'!$N$30,'Fatores de Emissão'!N59,IF($F$100='Fatores de Emissão'!$O$30,'Fatores de Emissão'!O59,IF($F$100='Fatores de Emissão'!$P$30,'Fatores de Emissão'!P59,IF($F$100='Fatores de Emissão'!$Q$30,'Fatores de Emissão'!Q59,""))))*1000</f>
        <v>#VALUE!</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t="e">
        <f>IF(FACE!$F$45='Fatores de Emissão'!$J$30,'Fatores de Emissão'!J60,IF(FACE!$F$45='Fatores de Emissão'!$K$30,'Fatores de Emissão'!K60,IF(FACE!$F$45='Fatores de Emissão'!$L$30,'Fatores de Emissão'!L60,IF(FACE!$F$45='Fatores de Emissão'!$M$30,'Fatores de Emissão'!M60,""))))*1000</f>
        <v>#VALUE!</v>
      </c>
      <c r="H131" s="536" t="e">
        <f>IF($F$100='Fatores de Emissão'!$N$30,'Fatores de Emissão'!N60,IF($F$100='Fatores de Emissão'!$O$30,'Fatores de Emissão'!O60,IF($F$100='Fatores de Emissão'!$P$30,'Fatores de Emissão'!P60,IF($F$100='Fatores de Emissão'!$Q$30,'Fatores de Emissão'!Q60,""))))*1000</f>
        <v>#VALUE!</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t="e">
        <f>IF(FACE!$F$45='Fatores de Emissão'!$J$30,'Fatores de Emissão'!J61,IF(FACE!$F$45='Fatores de Emissão'!$K$30,'Fatores de Emissão'!K61,IF(FACE!$F$45='Fatores de Emissão'!$L$30,'Fatores de Emissão'!L61,IF(FACE!$F$45='Fatores de Emissão'!$M$30,'Fatores de Emissão'!M61,""))))*1000</f>
        <v>#VALUE!</v>
      </c>
      <c r="H132" s="536" t="e">
        <f>IF($F$100='Fatores de Emissão'!$N$30,'Fatores de Emissão'!N61,IF($F$100='Fatores de Emissão'!$O$30,'Fatores de Emissão'!O61,IF($F$100='Fatores de Emissão'!$P$30,'Fatores de Emissão'!P61,IF($F$100='Fatores de Emissão'!$Q$30,'Fatores de Emissão'!Q61,""))))*1000</f>
        <v>#VALUE!</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t="e">
        <f>IF(FACE!$F$45='Fatores de Emissão'!$J$30,'Fatores de Emissão'!J62,IF(FACE!$F$45='Fatores de Emissão'!$K$30,'Fatores de Emissão'!K62,IF(FACE!$F$45='Fatores de Emissão'!$L$30,'Fatores de Emissão'!L62,IF(FACE!$F$45='Fatores de Emissão'!$M$30,'Fatores de Emissão'!M62,""))))*1000</f>
        <v>#VALUE!</v>
      </c>
      <c r="H133" s="536" t="e">
        <f>IF($F$100='Fatores de Emissão'!$N$30,'Fatores de Emissão'!N62,IF($F$100='Fatores de Emissão'!$O$30,'Fatores de Emissão'!O62,IF($F$100='Fatores de Emissão'!$P$30,'Fatores de Emissão'!P62,IF($F$100='Fatores de Emissão'!$Q$30,'Fatores de Emissão'!Q62,""))))*1000</f>
        <v>#VALUE!</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t="e">
        <f>IF(FACE!$F$45='Fatores de Emissão'!$J$30,'Fatores de Emissão'!J63,IF(FACE!$F$45='Fatores de Emissão'!$K$30,'Fatores de Emissão'!K63,IF(FACE!$F$45='Fatores de Emissão'!$L$30,'Fatores de Emissão'!L63,IF(FACE!$F$45='Fatores de Emissão'!$M$30,'Fatores de Emissão'!M63,""))))*1000</f>
        <v>#VALUE!</v>
      </c>
      <c r="H134" s="536" t="e">
        <f>IF($F$100='Fatores de Emissão'!$N$30,'Fatores de Emissão'!N63,IF($F$100='Fatores de Emissão'!$O$30,'Fatores de Emissão'!O63,IF($F$100='Fatores de Emissão'!$P$30,'Fatores de Emissão'!P63,IF($F$100='Fatores de Emissão'!$Q$30,'Fatores de Emissão'!Q63,""))))*1000</f>
        <v>#VALUE!</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t="e">
        <f>IF(FACE!$F$45='Fatores de Emissão'!$J$30,'Fatores de Emissão'!J64,IF(FACE!$F$45='Fatores de Emissão'!$K$30,'Fatores de Emissão'!K64,IF(FACE!$F$45='Fatores de Emissão'!$L$30,'Fatores de Emissão'!L64,IF(FACE!$F$45='Fatores de Emissão'!$M$30,'Fatores de Emissão'!M64,""))))*1000</f>
        <v>#VALUE!</v>
      </c>
      <c r="H135" s="536" t="e">
        <f>IF($F$100='Fatores de Emissão'!$N$30,'Fatores de Emissão'!N64,IF($F$100='Fatores de Emissão'!$O$30,'Fatores de Emissão'!O64,IF($F$100='Fatores de Emissão'!$P$30,'Fatores de Emissão'!P64,IF($F$100='Fatores de Emissão'!$Q$30,'Fatores de Emissão'!Q64,""))))*1000</f>
        <v>#VALUE!</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t="e">
        <f>IF(FACE!$F$45='Fatores de Emissão'!$J$30,'Fatores de Emissão'!J65,IF(FACE!$F$45='Fatores de Emissão'!$K$30,'Fatores de Emissão'!K65,IF(FACE!$F$45='Fatores de Emissão'!$L$30,'Fatores de Emissão'!L65,IF(FACE!$F$45='Fatores de Emissão'!$M$30,'Fatores de Emissão'!M65,""))))*1000</f>
        <v>#VALUE!</v>
      </c>
      <c r="H136" s="536" t="e">
        <f>IF($F$100='Fatores de Emissão'!$N$30,'Fatores de Emissão'!N65,IF($F$100='Fatores de Emissão'!$O$30,'Fatores de Emissão'!O65,IF($F$100='Fatores de Emissão'!$P$30,'Fatores de Emissão'!P65,IF($F$100='Fatores de Emissão'!$Q$30,'Fatores de Emissão'!Q65,""))))*1000</f>
        <v>#VALUE!</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t="e">
        <f>IF(FACE!$F$45='Fatores de Emissão'!$J$30,'Fatores de Emissão'!J66,IF(FACE!$F$45='Fatores de Emissão'!$K$30,'Fatores de Emissão'!K66,IF(FACE!$F$45='Fatores de Emissão'!$L$30,'Fatores de Emissão'!L66,IF(FACE!$F$45='Fatores de Emissão'!$M$30,'Fatores de Emissão'!M66,""))))*1000</f>
        <v>#VALUE!</v>
      </c>
      <c r="H137" s="536" t="e">
        <f>IF($F$100='Fatores de Emissão'!$N$30,'Fatores de Emissão'!N66,IF($F$100='Fatores de Emissão'!$O$30,'Fatores de Emissão'!O66,IF($F$100='Fatores de Emissão'!$P$30,'Fatores de Emissão'!P66,IF($F$100='Fatores de Emissão'!$Q$30,'Fatores de Emissão'!Q66,""))))*1000</f>
        <v>#VALUE!</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t="e">
        <f>IF($F$100='Fatores de Emissão'!$J$30,'Fatores de Emissão'!J67,IF($F$100='Fatores de Emissão'!$K$30,'Fatores de Emissão'!K67,IF($F$100='Fatores de Emissão'!$L$30,'Fatores de Emissão'!L67,IF($F$100='Fatores de Emissão'!$M$30,'Fatores de Emissão'!M67,""))))*1000</f>
        <v>#VALUE!</v>
      </c>
      <c r="H139" s="536" t="e">
        <f>IF($F$100='Fatores de Emissão'!$N$30,'Fatores de Emissão'!N67,IF($F$100='Fatores de Emissão'!$O$30,'Fatores de Emissão'!O67,IF($F$100='Fatores de Emissão'!$P$30,'Fatores de Emissão'!P67,IF($F$100='Fatores de Emissão'!$Q$30,'Fatores de Emissão'!Q67,""))))*1000</f>
        <v>#VALUE!</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t="e">
        <f>IF($F$100='Fatores de Emissão'!$J$30,'Fatores de Emissão'!J68,IF($F$100='Fatores de Emissão'!$K$30,'Fatores de Emissão'!K68,IF($F$100='Fatores de Emissão'!$L$30,'Fatores de Emissão'!L68,IF($F$100='Fatores de Emissão'!$M$30,'Fatores de Emissão'!M68,""))))*1000</f>
        <v>#VALUE!</v>
      </c>
      <c r="H140" s="536" t="e">
        <f>IF($F$100='Fatores de Emissão'!$N$30,'Fatores de Emissão'!N68,IF($F$100='Fatores de Emissão'!$O$30,'Fatores de Emissão'!O68,IF($F$100='Fatores de Emissão'!$P$30,'Fatores de Emissão'!P68,IF($F$100='Fatores de Emissão'!$Q$30,'Fatores de Emissão'!Q68,""))))*1000</f>
        <v>#VALUE!</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t="e">
        <f>IF($F$100='Fatores de Emissão'!$J$30,'Fatores de Emissão'!J69,IF($F$100='Fatores de Emissão'!$K$30,'Fatores de Emissão'!K69,IF($F$100='Fatores de Emissão'!$L$30,'Fatores de Emissão'!L69,IF($F$100='Fatores de Emissão'!$M$30,'Fatores de Emissão'!M69,""))))*1000</f>
        <v>#VALUE!</v>
      </c>
      <c r="H141" s="536" t="e">
        <f>IF($F$100='Fatores de Emissão'!$N$30,'Fatores de Emissão'!N69,IF($F$100='Fatores de Emissão'!$O$30,'Fatores de Emissão'!O69,IF($F$100='Fatores de Emissão'!$P$30,'Fatores de Emissão'!P69,IF($F$100='Fatores de Emissão'!$Q$30,'Fatores de Emissão'!Q69,""))))*1000</f>
        <v>#VALUE!</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t="e">
        <f>IF($F$100='Fatores de Emissão'!$J$30,'Fatores de Emissão'!J70,IF($F$100='Fatores de Emissão'!$K$30,'Fatores de Emissão'!K70,IF($F$100='Fatores de Emissão'!$L$30,'Fatores de Emissão'!L70,IF($F$100='Fatores de Emissão'!$M$30,'Fatores de Emissão'!M70,""))))*1000</f>
        <v>#VALUE!</v>
      </c>
      <c r="H142" s="536" t="e">
        <f>IF($F$100='Fatores de Emissão'!$N$30,'Fatores de Emissão'!N70,IF($F$100='Fatores de Emissão'!$O$30,'Fatores de Emissão'!O70,IF($F$100='Fatores de Emissão'!$P$30,'Fatores de Emissão'!P70,IF($F$100='Fatores de Emissão'!$Q$30,'Fatores de Emissão'!Q70,""))))*1000</f>
        <v>#VALUE!</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t="e">
        <f>IF($F$100='Fatores de Emissão'!$J$30,'Fatores de Emissão'!J71,IF($F$100='Fatores de Emissão'!$K$30,'Fatores de Emissão'!K71,IF($F$100='Fatores de Emissão'!$L$30,'Fatores de Emissão'!L71,IF($F$100='Fatores de Emissão'!$M$30,'Fatores de Emissão'!M71,""))))*1000</f>
        <v>#VALUE!</v>
      </c>
      <c r="H143" s="536" t="e">
        <f>IF($F$100='Fatores de Emissão'!$N$30,'Fatores de Emissão'!N71,IF($F$100='Fatores de Emissão'!$O$30,'Fatores de Emissão'!O71,IF($F$100='Fatores de Emissão'!$P$30,'Fatores de Emissão'!P71,IF($F$100='Fatores de Emissão'!$Q$30,'Fatores de Emissão'!Q71,""))))*1000</f>
        <v>#VALUE!</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0</v>
      </c>
      <c r="D144" s="531" t="str">
        <f>FACE!D89</f>
        <v>kg</v>
      </c>
      <c r="F144" s="535">
        <f t="shared" si="12"/>
        <v>1.1599999999999999</v>
      </c>
      <c r="G144" s="536" t="e">
        <f>IF($F$100='Fatores de Emissão'!$J$30,'Fatores de Emissão'!J72,IF($F$100='Fatores de Emissão'!$K$30,'Fatores de Emissão'!K72,IF($F$100='Fatores de Emissão'!$L$30,'Fatores de Emissão'!L72,IF($F$100='Fatores de Emissão'!$M$30,'Fatores de Emissão'!M72,""))))*1000</f>
        <v>#VALUE!</v>
      </c>
      <c r="H144" s="536" t="e">
        <f>IF($F$100='Fatores de Emissão'!$N$30,'Fatores de Emissão'!N72,IF($F$100='Fatores de Emissão'!$O$30,'Fatores de Emissão'!O72,IF($F$100='Fatores de Emissão'!$P$30,'Fatores de Emissão'!P72,IF($F$100='Fatores de Emissão'!$Q$30,'Fatores de Emissão'!Q72,""))))*1000</f>
        <v>#VALUE!</v>
      </c>
      <c r="I144" s="457" t="str">
        <f t="shared" si="13"/>
        <v>-</v>
      </c>
      <c r="J144" s="457" t="str">
        <f t="shared" si="14"/>
        <v>-</v>
      </c>
      <c r="K144" s="457" t="str">
        <f t="shared" si="15"/>
        <v>-</v>
      </c>
      <c r="L144" s="524" t="str">
        <f>IF(C144=0,"-",I144*'Fatores de Emissão'!$E$252+FACE!J144*'Fatores de Emissão'!$E$248+FACE!K144*'Fatores de Emissão'!$E$249)</f>
        <v>-</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t="e">
        <f>IF($F$100='Fatores de Emissão'!$J$30,'Fatores de Emissão'!J73,IF($F$100='Fatores de Emissão'!$K$30,'Fatores de Emissão'!K73,IF($F$100='Fatores de Emissão'!$L$30,'Fatores de Emissão'!L73,IF($F$100='Fatores de Emissão'!$M$30,'Fatores de Emissão'!M73,""))))*1000</f>
        <v>#VALUE!</v>
      </c>
      <c r="H145" s="536" t="e">
        <f>IF($F$100='Fatores de Emissão'!$N$30,'Fatores de Emissão'!N73,IF($F$100='Fatores de Emissão'!$O$30,'Fatores de Emissão'!O73,IF($F$100='Fatores de Emissão'!$P$30,'Fatores de Emissão'!P73,IF($F$100='Fatores de Emissão'!$Q$30,'Fatores de Emissão'!Q73,""))))*1000</f>
        <v>#VALUE!</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t="e">
        <f>IF($F$100='Fatores de Emissão'!$J$30,'Fatores de Emissão'!J74,IF($F$100='Fatores de Emissão'!$K$30,'Fatores de Emissão'!K74,IF($F$100='Fatores de Emissão'!$L$30,'Fatores de Emissão'!L74,IF($F$100='Fatores de Emissão'!$M$30,'Fatores de Emissão'!M74,""))))*1000</f>
        <v>#VALUE!</v>
      </c>
      <c r="H146" s="536" t="e">
        <f>IF($F$100='Fatores de Emissão'!$N$30,'Fatores de Emissão'!N74,IF($F$100='Fatores de Emissão'!$O$30,'Fatores de Emissão'!O74,IF($F$100='Fatores de Emissão'!$P$30,'Fatores de Emissão'!P74,IF($F$100='Fatores de Emissão'!$Q$30,'Fatores de Emissão'!Q74,""))))*1000</f>
        <v>#VALUE!</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t="e">
        <f>IF($F$100='Fatores de Emissão'!$J$30,'Fatores de Emissão'!J75,IF($F$100='Fatores de Emissão'!$K$30,'Fatores de Emissão'!K75,IF($F$100='Fatores de Emissão'!$L$30,'Fatores de Emissão'!L75,IF($F$100='Fatores de Emissão'!$M$30,'Fatores de Emissão'!M75,""))))*1000</f>
        <v>#VALUE!</v>
      </c>
      <c r="H147" s="536" t="e">
        <f>IF($F$100='Fatores de Emissão'!$N$30,'Fatores de Emissão'!N75,IF($F$100='Fatores de Emissão'!$O$30,'Fatores de Emissão'!O75,IF($F$100='Fatores de Emissão'!$P$30,'Fatores de Emissão'!P75,IF($F$100='Fatores de Emissão'!$Q$30,'Fatores de Emissão'!Q75,""))))*1000</f>
        <v>#VALUE!</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0</v>
      </c>
      <c r="J148" s="534">
        <f>SUM(J139:J147)</f>
        <v>0</v>
      </c>
      <c r="K148" s="534">
        <f>SUM(K139:K147)</f>
        <v>0</v>
      </c>
      <c r="L148" s="534">
        <f>SUM(L139:L147)</f>
        <v>0</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093" t="s">
        <v>42</v>
      </c>
      <c r="C154" s="1093" t="s">
        <v>479</v>
      </c>
      <c r="D154" s="1096"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094"/>
      <c r="C155" s="1094"/>
      <c r="D155" s="1097"/>
      <c r="F155" s="517">
        <f>'Combustão Estacionária'!D37</f>
        <v>0</v>
      </c>
      <c r="G155" s="518"/>
      <c r="H155" s="519"/>
      <c r="I155" s="484"/>
      <c r="J155" s="484"/>
      <c r="K155" s="484"/>
      <c r="L155" s="484"/>
      <c r="M155" s="484"/>
      <c r="N155" s="484"/>
    </row>
    <row r="156" spans="1:14" s="314" customFormat="1" ht="16.95" customHeight="1" outlineLevel="1" x14ac:dyDescent="0.3">
      <c r="B156" s="1095"/>
      <c r="C156" s="1095"/>
      <c r="D156" s="1098"/>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t="e">
        <f>IF($F$155='Fatores de Emissão'!$J$30,'Fatores de Emissão'!J31,IF($F$155='Fatores de Emissão'!$K$30,'Fatores de Emissão'!K31,IF($F$155='Fatores de Emissão'!$L$30,'Fatores de Emissão'!L31,IF($F$155='Fatores de Emissão'!$M$30,'Fatores de Emissão'!M31,""))))*1000</f>
        <v>#VALUE!</v>
      </c>
      <c r="H157" s="536" t="e">
        <f>IF($F$155='Fatores de Emissão'!$N$30,'Fatores de Emissão'!N31,IF($F$155='Fatores de Emissão'!$O$30,'Fatores de Emissão'!O31,IF($F$155='Fatores de Emissão'!$P$30,'Fatores de Emissão'!P31,IF($F$155='Fatores de Emissão'!$Q$30,'Fatores de Emissão'!Q31,""))))*1000</f>
        <v>#VALUE!</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t="e">
        <f>IF($F$155='Fatores de Emissão'!$J$30,'Fatores de Emissão'!J32,IF($F$155='Fatores de Emissão'!$K$30,'Fatores de Emissão'!K32,IF($F$155='Fatores de Emissão'!$L$30,'Fatores de Emissão'!L32,IF($F$155='Fatores de Emissão'!$M$30,'Fatores de Emissão'!M32,""))))*1000</f>
        <v>#VALUE!</v>
      </c>
      <c r="H158" s="536" t="e">
        <f>IF($F$155='Fatores de Emissão'!$N$30,'Fatores de Emissão'!N32,IF($F$155='Fatores de Emissão'!$O$30,'Fatores de Emissão'!O32,IF($F$155='Fatores de Emissão'!$P$30,'Fatores de Emissão'!P32,IF($F$155='Fatores de Emissão'!$Q$30,'Fatores de Emissão'!Q32,""))))*1000</f>
        <v>#VALUE!</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t="e">
        <f>IF($F$155='Fatores de Emissão'!$J$30,'Fatores de Emissão'!J33,IF($F$155='Fatores de Emissão'!$K$30,'Fatores de Emissão'!K33,IF($F$155='Fatores de Emissão'!$L$30,'Fatores de Emissão'!L33,IF($F$155='Fatores de Emissão'!$M$30,'Fatores de Emissão'!M33,""))))*1000</f>
        <v>#VALUE!</v>
      </c>
      <c r="H159" s="536" t="e">
        <f>IF($F$155='Fatores de Emissão'!$N$30,'Fatores de Emissão'!N33,IF($F$155='Fatores de Emissão'!$O$30,'Fatores de Emissão'!O33,IF($F$155='Fatores de Emissão'!$P$30,'Fatores de Emissão'!P33,IF($F$155='Fatores de Emissão'!$Q$30,'Fatores de Emissão'!Q33,""))))*1000</f>
        <v>#VALUE!</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t="e">
        <f>IF($F$155='Fatores de Emissão'!$J$30,'Fatores de Emissão'!J34,IF($F$155='Fatores de Emissão'!$K$30,'Fatores de Emissão'!K34,IF($F$155='Fatores de Emissão'!$L$30,'Fatores de Emissão'!L34,IF($F$155='Fatores de Emissão'!$M$30,'Fatores de Emissão'!M34,""))))*1000</f>
        <v>#VALUE!</v>
      </c>
      <c r="H160" s="536" t="e">
        <f>IF($F$155='Fatores de Emissão'!$N$30,'Fatores de Emissão'!N34,IF($F$155='Fatores de Emissão'!$O$30,'Fatores de Emissão'!O34,IF($F$155='Fatores de Emissão'!$P$30,'Fatores de Emissão'!P34,IF($F$155='Fatores de Emissão'!$Q$30,'Fatores de Emissão'!Q34,""))))*1000</f>
        <v>#VALUE!</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t="e">
        <f>IF($F$155='Fatores de Emissão'!$J$30,'Fatores de Emissão'!J35,IF($F$155='Fatores de Emissão'!$K$30,'Fatores de Emissão'!K35,IF($F$155='Fatores de Emissão'!$L$30,'Fatores de Emissão'!L35,IF($F$155='Fatores de Emissão'!$M$30,'Fatores de Emissão'!M35,""))))*1000</f>
        <v>#VALUE!</v>
      </c>
      <c r="H161" s="536" t="e">
        <f>IF($F$155='Fatores de Emissão'!$N$30,'Fatores de Emissão'!N35,IF($F$155='Fatores de Emissão'!$O$30,'Fatores de Emissão'!O35,IF($F$155='Fatores de Emissão'!$P$30,'Fatores de Emissão'!P35,IF($F$155='Fatores de Emissão'!$Q$30,'Fatores de Emissão'!Q35,""))))*1000</f>
        <v>#VALUE!</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t="e">
        <f>IF($F$155='Fatores de Emissão'!$J$30,'Fatores de Emissão'!J51,IF($F$155='Fatores de Emissão'!$K$30,'Fatores de Emissão'!K51,IF($F$155='Fatores de Emissão'!$L$30,'Fatores de Emissão'!L51,IF($F$155='Fatores de Emissão'!$M$30,'Fatores de Emissão'!M51,""))))*1000</f>
        <v>#VALUE!</v>
      </c>
      <c r="H162" s="536" t="e">
        <f>IF($F$155='Fatores de Emissão'!$N$30,'Fatores de Emissão'!N51,IF($F$155='Fatores de Emissão'!$O$30,'Fatores de Emissão'!O51,IF($F$155='Fatores de Emissão'!$P$30,'Fatores de Emissão'!P51,IF($F$155='Fatores de Emissão'!$Q$30,'Fatores de Emissão'!Q51,""))))*1000</f>
        <v>#VALUE!</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t="e">
        <f>IF($F$155='Fatores de Emissão'!$J$30,'Fatores de Emissão'!J36,IF($F$155='Fatores de Emissão'!$K$30,'Fatores de Emissão'!K36,IF($F$155='Fatores de Emissão'!$L$30,'Fatores de Emissão'!L36,IF($F$155='Fatores de Emissão'!$M$30,'Fatores de Emissão'!M36,""))))*1000</f>
        <v>#VALUE!</v>
      </c>
      <c r="H163" s="536" t="e">
        <f>IF($F$155='Fatores de Emissão'!$N$30,'Fatores de Emissão'!N36,IF($F$155='Fatores de Emissão'!$O$30,'Fatores de Emissão'!O36,IF($F$155='Fatores de Emissão'!$P$30,'Fatores de Emissão'!P36,IF($F$155='Fatores de Emissão'!$Q$30,'Fatores de Emissão'!Q36,""))))*1000</f>
        <v>#VALUE!</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t="e">
        <f>IF($F$155='Fatores de Emissão'!$J$30,'Fatores de Emissão'!J37,IF($F$155='Fatores de Emissão'!$K$30,'Fatores de Emissão'!K37,IF($F$155='Fatores de Emissão'!$L$30,'Fatores de Emissão'!L37,IF($F$155='Fatores de Emissão'!$M$30,'Fatores de Emissão'!M37,""))))*1000</f>
        <v>#VALUE!</v>
      </c>
      <c r="H164" s="536" t="e">
        <f>IF($F$155='Fatores de Emissão'!$N$30,'Fatores de Emissão'!N37,IF($F$155='Fatores de Emissão'!$O$30,'Fatores de Emissão'!O37,IF($F$155='Fatores de Emissão'!$P$30,'Fatores de Emissão'!P37,IF($F$155='Fatores de Emissão'!$Q$30,'Fatores de Emissão'!Q37,""))))*1000</f>
        <v>#VALUE!</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t="e">
        <f>IF($F$155='Fatores de Emissão'!$J$30,'Fatores de Emissão'!J38,IF($F$155='Fatores de Emissão'!$K$30,'Fatores de Emissão'!K38,IF($F$155='Fatores de Emissão'!$L$30,'Fatores de Emissão'!L38,IF($F$155='Fatores de Emissão'!$M$30,'Fatores de Emissão'!M38,""))))*1000</f>
        <v>#VALUE!</v>
      </c>
      <c r="H165" s="536" t="e">
        <f>IF($F$155='Fatores de Emissão'!$N$30,'Fatores de Emissão'!N38,IF($F$155='Fatores de Emissão'!$O$30,'Fatores de Emissão'!O38,IF($F$155='Fatores de Emissão'!$P$30,'Fatores de Emissão'!P38,IF($F$155='Fatores de Emissão'!$Q$30,'Fatores de Emissão'!Q38,""))))*1000</f>
        <v>#VALUE!</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t="e">
        <f>IF($F$155='Fatores de Emissão'!$J$30,'Fatores de Emissão'!J39,IF($F$155='Fatores de Emissão'!$K$30,'Fatores de Emissão'!K39,IF($F$155='Fatores de Emissão'!$L$30,'Fatores de Emissão'!L39,IF($F$155='Fatores de Emissão'!$M$30,'Fatores de Emissão'!M39,""))))*1000</f>
        <v>#VALUE!</v>
      </c>
      <c r="H166" s="536" t="e">
        <f>IF($F$155='Fatores de Emissão'!$N$30,'Fatores de Emissão'!N39,IF($F$155='Fatores de Emissão'!$O$30,'Fatores de Emissão'!O39,IF($F$155='Fatores de Emissão'!$P$30,'Fatores de Emissão'!P39,IF($F$155='Fatores de Emissão'!$Q$30,'Fatores de Emissão'!Q39,""))))*1000</f>
        <v>#VALUE!</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t="e">
        <f>IF($F$155='Fatores de Emissão'!$J$30,'Fatores de Emissão'!J40,IF($F$155='Fatores de Emissão'!$K$30,'Fatores de Emissão'!K40,IF($F$155='Fatores de Emissão'!$L$30,'Fatores de Emissão'!L40,IF($F$155='Fatores de Emissão'!$M$30,'Fatores de Emissão'!M40,""))))*1000</f>
        <v>#VALUE!</v>
      </c>
      <c r="H167" s="536" t="e">
        <f>IF($F$155='Fatores de Emissão'!$N$30,'Fatores de Emissão'!N40,IF($F$155='Fatores de Emissão'!$O$30,'Fatores de Emissão'!O40,IF($F$155='Fatores de Emissão'!$P$30,'Fatores de Emissão'!P40,IF($F$155='Fatores de Emissão'!$Q$30,'Fatores de Emissão'!Q40,""))))*1000</f>
        <v>#VALUE!</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t="e">
        <f>IF($F$155='Fatores de Emissão'!$J$30,'Fatores de Emissão'!J41,IF($F$155='Fatores de Emissão'!$K$30,'Fatores de Emissão'!K41,IF($F$155='Fatores de Emissão'!$L$30,'Fatores de Emissão'!L41,IF($F$155='Fatores de Emissão'!$M$30,'Fatores de Emissão'!M41,""))))*1000</f>
        <v>#VALUE!</v>
      </c>
      <c r="H168" s="536" t="e">
        <f>IF($F$155='Fatores de Emissão'!$N$30,'Fatores de Emissão'!N41,IF($F$155='Fatores de Emissão'!$O$30,'Fatores de Emissão'!O41,IF($F$155='Fatores de Emissão'!$P$30,'Fatores de Emissão'!P41,IF($F$155='Fatores de Emissão'!$Q$30,'Fatores de Emissão'!Q41,""))))*1000</f>
        <v>#VALUE!</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t="e">
        <f>IF($F$155='Fatores de Emissão'!$J$30,'Fatores de Emissão'!J42,IF($F$155='Fatores de Emissão'!$K$30,'Fatores de Emissão'!K42,IF($F$155='Fatores de Emissão'!$L$30,'Fatores de Emissão'!L42,IF($F$155='Fatores de Emissão'!$M$30,'Fatores de Emissão'!M42,""))))*1000</f>
        <v>#VALUE!</v>
      </c>
      <c r="H169" s="536" t="e">
        <f>IF($F$155='Fatores de Emissão'!$N$30,'Fatores de Emissão'!N42,IF($F$155='Fatores de Emissão'!$O$30,'Fatores de Emissão'!O42,IF($F$155='Fatores de Emissão'!$P$30,'Fatores de Emissão'!P42,IF($F$155='Fatores de Emissão'!$Q$30,'Fatores de Emissão'!Q42,""))))*1000</f>
        <v>#VALUE!</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t="e">
        <f>IF($F$155='Fatores de Emissão'!$J$30,'Fatores de Emissão'!J43,IF($F$155='Fatores de Emissão'!$K$30,'Fatores de Emissão'!K43,IF($F$155='Fatores de Emissão'!$L$30,'Fatores de Emissão'!L43,IF($F$155='Fatores de Emissão'!$M$30,'Fatores de Emissão'!M43,""))))*1000</f>
        <v>#VALUE!</v>
      </c>
      <c r="H170" s="536" t="e">
        <f>IF($F$155='Fatores de Emissão'!$N$30,'Fatores de Emissão'!N43,IF($F$155='Fatores de Emissão'!$O$30,'Fatores de Emissão'!O43,IF($F$155='Fatores de Emissão'!$P$30,'Fatores de Emissão'!P43,IF($F$155='Fatores de Emissão'!$Q$30,'Fatores de Emissão'!Q43,""))))*1000</f>
        <v>#VALUE!</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t="e">
        <f>IF($F$155='Fatores de Emissão'!$J$30,'Fatores de Emissão'!J44,IF($F$155='Fatores de Emissão'!$K$30,'Fatores de Emissão'!K44,IF($F$155='Fatores de Emissão'!$L$30,'Fatores de Emissão'!L44,IF($F$155='Fatores de Emissão'!$M$30,'Fatores de Emissão'!M44,""))))*1000</f>
        <v>#VALUE!</v>
      </c>
      <c r="H171" s="536" t="e">
        <f>IF($F$155='Fatores de Emissão'!$N$30,'Fatores de Emissão'!N44,IF($F$155='Fatores de Emissão'!$O$30,'Fatores de Emissão'!O44,IF($F$155='Fatores de Emissão'!$P$30,'Fatores de Emissão'!P44,IF($F$155='Fatores de Emissão'!$Q$30,'Fatores de Emissão'!Q44,""))))*1000</f>
        <v>#VALUE!</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t="e">
        <f>IF($F$155='Fatores de Emissão'!$J$30,'Fatores de Emissão'!J45,IF($F$155='Fatores de Emissão'!$K$30,'Fatores de Emissão'!K45,IF($F$155='Fatores de Emissão'!$L$30,'Fatores de Emissão'!L45,IF($F$155='Fatores de Emissão'!$M$30,'Fatores de Emissão'!M45,""))))*1000</f>
        <v>#VALUE!</v>
      </c>
      <c r="H172" s="536" t="e">
        <f>IF($F$155='Fatores de Emissão'!$N$30,'Fatores de Emissão'!N45,IF($F$155='Fatores de Emissão'!$O$30,'Fatores de Emissão'!O45,IF($F$155='Fatores de Emissão'!$P$30,'Fatores de Emissão'!P45,IF($F$155='Fatores de Emissão'!$Q$30,'Fatores de Emissão'!Q45,""))))*1000</f>
        <v>#VALUE!</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t="e">
        <f>IF($F$155='Fatores de Emissão'!$J$30,'Fatores de Emissão'!J46,IF($F$155='Fatores de Emissão'!$K$30,'Fatores de Emissão'!K46,IF($F$155='Fatores de Emissão'!$L$30,'Fatores de Emissão'!L46,IF($F$155='Fatores de Emissão'!$M$30,'Fatores de Emissão'!M46,""))))*1000</f>
        <v>#VALUE!</v>
      </c>
      <c r="H173" s="536" t="e">
        <f>IF($F$155='Fatores de Emissão'!$N$30,'Fatores de Emissão'!N46,IF($F$155='Fatores de Emissão'!$O$30,'Fatores de Emissão'!O46,IF($F$155='Fatores de Emissão'!$P$30,'Fatores de Emissão'!P46,IF($F$155='Fatores de Emissão'!$Q$30,'Fatores de Emissão'!Q46,""))))*1000</f>
        <v>#VALUE!</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t="e">
        <f>IF($F$155='Fatores de Emissão'!$J$30,'Fatores de Emissão'!J47,IF($F$155='Fatores de Emissão'!$K$30,'Fatores de Emissão'!K47,IF($F$155='Fatores de Emissão'!$L$30,'Fatores de Emissão'!L47,IF($F$155='Fatores de Emissão'!$M$30,'Fatores de Emissão'!M47,""))))*1000</f>
        <v>#VALUE!</v>
      </c>
      <c r="H174" s="536" t="e">
        <f>IF($F$155='Fatores de Emissão'!$N$30,'Fatores de Emissão'!N47,IF($F$155='Fatores de Emissão'!$O$30,'Fatores de Emissão'!O47,IF($F$155='Fatores de Emissão'!$P$30,'Fatores de Emissão'!P47,IF($F$155='Fatores de Emissão'!$Q$30,'Fatores de Emissão'!Q47,""))))*1000</f>
        <v>#VALUE!</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t="e">
        <f>IF($F$155='Fatores de Emissão'!$J$30,'Fatores de Emissão'!J48,IF($F$155='Fatores de Emissão'!$K$30,'Fatores de Emissão'!K48,IF($F$155='Fatores de Emissão'!$L$30,'Fatores de Emissão'!L48,IF($F$155='Fatores de Emissão'!$M$30,'Fatores de Emissão'!M48,""))))*1000</f>
        <v>#VALUE!</v>
      </c>
      <c r="H175" s="536" t="e">
        <f>IF($F$155='Fatores de Emissão'!$N$30,'Fatores de Emissão'!N48,IF($F$155='Fatores de Emissão'!$O$30,'Fatores de Emissão'!O48,IF($F$155='Fatores de Emissão'!$P$30,'Fatores de Emissão'!P48,IF($F$155='Fatores de Emissão'!$Q$30,'Fatores de Emissão'!Q48,""))))*1000</f>
        <v>#VALUE!</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t="e">
        <f>IF($F$155='Fatores de Emissão'!$J$30,'Fatores de Emissão'!J49,IF($F$155='Fatores de Emissão'!$K$30,'Fatores de Emissão'!K49,IF($F$155='Fatores de Emissão'!$L$30,'Fatores de Emissão'!L49,IF($F$155='Fatores de Emissão'!$M$30,'Fatores de Emissão'!M49,""))))*1000</f>
        <v>#VALUE!</v>
      </c>
      <c r="H176" s="536" t="e">
        <f>IF($F$155='Fatores de Emissão'!$N$30,'Fatores de Emissão'!N49,IF($F$155='Fatores de Emissão'!$O$30,'Fatores de Emissão'!O49,IF($F$155='Fatores de Emissão'!$P$30,'Fatores de Emissão'!P49,IF($F$155='Fatores de Emissão'!$Q$30,'Fatores de Emissão'!Q49,""))))*1000</f>
        <v>#VALUE!</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t="e">
        <f>IF($F$155='Fatores de Emissão'!$J$30,'Fatores de Emissão'!J50,IF($F$155='Fatores de Emissão'!$K$30,'Fatores de Emissão'!K50,IF($F$155='Fatores de Emissão'!$L$30,'Fatores de Emissão'!L50,IF($F$155='Fatores de Emissão'!$M$30,'Fatores de Emissão'!M50,""))))*1000</f>
        <v>#VALUE!</v>
      </c>
      <c r="H177" s="536" t="e">
        <f>IF($F$155='Fatores de Emissão'!$N$30,'Fatores de Emissão'!N50,IF($F$155='Fatores de Emissão'!$O$30,'Fatores de Emissão'!O50,IF($F$155='Fatores de Emissão'!$P$30,'Fatores de Emissão'!P50,IF($F$155='Fatores de Emissão'!$Q$30,'Fatores de Emissão'!Q50,""))))*1000</f>
        <v>#VALUE!</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t="e">
        <f>IF($F$155='Fatores de Emissão'!$J$30,'Fatores de Emissão'!J52,IF($F$155='Fatores de Emissão'!$K$30,'Fatores de Emissão'!K52,IF($F$155='Fatores de Emissão'!$L$30,'Fatores de Emissão'!L52,IF($F$155='Fatores de Emissão'!$M$30,'Fatores de Emissão'!M52,""))))*1000</f>
        <v>#VALUE!</v>
      </c>
      <c r="H178" s="536" t="e">
        <f>IF($F$155='Fatores de Emissão'!$N$30,'Fatores de Emissão'!N52,IF($F$155='Fatores de Emissão'!$O$30,'Fatores de Emissão'!O52,IF($F$155='Fatores de Emissão'!$P$30,'Fatores de Emissão'!P52,IF($F$155='Fatores de Emissão'!$Q$30,'Fatores de Emissão'!Q52,""))))*1000</f>
        <v>#VALUE!</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t="e">
        <f>IF($F$155='Fatores de Emissão'!$J$30,'Fatores de Emissão'!J53,IF($F$155='Fatores de Emissão'!$K$30,'Fatores de Emissão'!K53,IF($F$155='Fatores de Emissão'!$L$30,'Fatores de Emissão'!L53,IF($F$155='Fatores de Emissão'!$M$30,'Fatores de Emissão'!M53,""))))*1000</f>
        <v>#VALUE!</v>
      </c>
      <c r="H179" s="536" t="e">
        <f>IF($F$155='Fatores de Emissão'!$N$30,'Fatores de Emissão'!N53,IF($F$155='Fatores de Emissão'!$O$30,'Fatores de Emissão'!O53,IF($F$155='Fatores de Emissão'!$P$30,'Fatores de Emissão'!P53,IF($F$155='Fatores de Emissão'!$Q$30,'Fatores de Emissão'!Q53,""))))*1000</f>
        <v>#VALUE!</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t="e">
        <f>IF($F$155='Fatores de Emissão'!$J$30,'Fatores de Emissão'!J54,IF($F$155='Fatores de Emissão'!$K$30,'Fatores de Emissão'!K54,IF($F$155='Fatores de Emissão'!$L$30,'Fatores de Emissão'!L54,IF($F$155='Fatores de Emissão'!$M$30,'Fatores de Emissão'!M54,""))))*1000</f>
        <v>#VALUE!</v>
      </c>
      <c r="H180" s="536" t="e">
        <f>IF($F$155='Fatores de Emissão'!$N$30,'Fatores de Emissão'!N54,IF($F$155='Fatores de Emissão'!$O$30,'Fatores de Emissão'!O54,IF($F$155='Fatores de Emissão'!$P$30,'Fatores de Emissão'!P54,IF($F$155='Fatores de Emissão'!$Q$30,'Fatores de Emissão'!Q54,""))))*1000</f>
        <v>#VALUE!</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t="e">
        <f>IF($F$155='Fatores de Emissão'!$J$30,'Fatores de Emissão'!J55,IF($F$155='Fatores de Emissão'!$K$30,'Fatores de Emissão'!K55,IF($F$155='Fatores de Emissão'!$L$30,'Fatores de Emissão'!L55,IF($F$155='Fatores de Emissão'!$M$30,'Fatores de Emissão'!M55,""))))*1000</f>
        <v>#VALUE!</v>
      </c>
      <c r="H181" s="536" t="e">
        <f>IF($F$155='Fatores de Emissão'!$N$30,'Fatores de Emissão'!N55,IF($F$155='Fatores de Emissão'!$O$30,'Fatores de Emissão'!O55,IF($F$155='Fatores de Emissão'!$P$30,'Fatores de Emissão'!P55,IF($F$155='Fatores de Emissão'!$Q$30,'Fatores de Emissão'!Q55,""))))*1000</f>
        <v>#VALUE!</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t="e">
        <f>IF($F$155='Fatores de Emissão'!$J$30,'Fatores de Emissão'!J56,IF($F$155='Fatores de Emissão'!$K$30,'Fatores de Emissão'!K56,IF($F$155='Fatores de Emissão'!$L$30,'Fatores de Emissão'!L56,IF($F$155='Fatores de Emissão'!$M$30,'Fatores de Emissão'!M56,""))))*1000</f>
        <v>#VALUE!</v>
      </c>
      <c r="H182" s="536" t="e">
        <f>IF($F$155='Fatores de Emissão'!$N$30,'Fatores de Emissão'!N56,IF($F$155='Fatores de Emissão'!$O$30,'Fatores de Emissão'!O56,IF($F$155='Fatores de Emissão'!$P$30,'Fatores de Emissão'!P56,IF($F$155='Fatores de Emissão'!$Q$30,'Fatores de Emissão'!Q56,""))))*1000</f>
        <v>#VALUE!</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t="e">
        <f>IF($F$155='Fatores de Emissão'!$J$30,'Fatores de Emissão'!J57,IF($F$155='Fatores de Emissão'!$K$30,'Fatores de Emissão'!K57,IF($F$155='Fatores de Emissão'!$L$30,'Fatores de Emissão'!L57,IF($F$155='Fatores de Emissão'!$M$30,'Fatores de Emissão'!M57,""))))*1000</f>
        <v>#VALUE!</v>
      </c>
      <c r="H183" s="536" t="e">
        <f>IF($F$155='Fatores de Emissão'!$N$30,'Fatores de Emissão'!N57,IF($F$155='Fatores de Emissão'!$O$30,'Fatores de Emissão'!O57,IF($F$155='Fatores de Emissão'!$P$30,'Fatores de Emissão'!P57,IF($F$155='Fatores de Emissão'!$Q$30,'Fatores de Emissão'!Q57,""))))*1000</f>
        <v>#VALUE!</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t="e">
        <f>IF($F$155='Fatores de Emissão'!$J$30,'Fatores de Emissão'!J58,IF($F$155='Fatores de Emissão'!$K$30,'Fatores de Emissão'!K58,IF($F$155='Fatores de Emissão'!$L$30,'Fatores de Emissão'!L58,IF($F$155='Fatores de Emissão'!$M$30,'Fatores de Emissão'!M58,""))))*1000</f>
        <v>#VALUE!</v>
      </c>
      <c r="H184" s="536" t="e">
        <f>IF($F$155='Fatores de Emissão'!$N$30,'Fatores de Emissão'!N58,IF($F$155='Fatores de Emissão'!$O$30,'Fatores de Emissão'!O58,IF($F$155='Fatores de Emissão'!$P$30,'Fatores de Emissão'!P58,IF($F$155='Fatores de Emissão'!$Q$30,'Fatores de Emissão'!Q58,""))))*1000</f>
        <v>#VALUE!</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t="e">
        <f>IF($F$155='Fatores de Emissão'!$J$30,'Fatores de Emissão'!J59,IF($F$155='Fatores de Emissão'!$K$30,'Fatores de Emissão'!K59,IF($F$155='Fatores de Emissão'!$L$30,'Fatores de Emissão'!L59,IF($F$155='Fatores de Emissão'!$M$30,'Fatores de Emissão'!M59,""))))*1000</f>
        <v>#VALUE!</v>
      </c>
      <c r="H185" s="536" t="e">
        <f>IF($F$155='Fatores de Emissão'!$N$30,'Fatores de Emissão'!N59,IF($F$155='Fatores de Emissão'!$O$30,'Fatores de Emissão'!O59,IF($F$155='Fatores de Emissão'!$P$30,'Fatores de Emissão'!P59,IF($F$155='Fatores de Emissão'!$Q$30,'Fatores de Emissão'!Q59,""))))*1000</f>
        <v>#VALUE!</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t="e">
        <f>IF($F$155='Fatores de Emissão'!$J$30,'Fatores de Emissão'!J60,IF($F$155='Fatores de Emissão'!$K$30,'Fatores de Emissão'!K60,IF($F$155='Fatores de Emissão'!$L$30,'Fatores de Emissão'!L60,IF($F$155='Fatores de Emissão'!$M$30,'Fatores de Emissão'!M60,""))))*1000</f>
        <v>#VALUE!</v>
      </c>
      <c r="H186" s="536" t="e">
        <f>IF($F$155='Fatores de Emissão'!$N$30,'Fatores de Emissão'!N60,IF($F$155='Fatores de Emissão'!$O$30,'Fatores de Emissão'!O60,IF($F$155='Fatores de Emissão'!$P$30,'Fatores de Emissão'!P60,IF($F$155='Fatores de Emissão'!$Q$30,'Fatores de Emissão'!Q60,""))))*1000</f>
        <v>#VALUE!</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t="e">
        <f>IF($F$155='Fatores de Emissão'!$J$30,'Fatores de Emissão'!J61,IF($F$155='Fatores de Emissão'!$K$30,'Fatores de Emissão'!K61,IF($F$155='Fatores de Emissão'!$L$30,'Fatores de Emissão'!L61,IF($F$155='Fatores de Emissão'!$M$30,'Fatores de Emissão'!M61,""))))*1000</f>
        <v>#VALUE!</v>
      </c>
      <c r="H187" s="536" t="e">
        <f>IF($F$155='Fatores de Emissão'!$N$30,'Fatores de Emissão'!N61,IF($F$155='Fatores de Emissão'!$O$30,'Fatores de Emissão'!O61,IF($F$155='Fatores de Emissão'!$P$30,'Fatores de Emissão'!P61,IF($F$155='Fatores de Emissão'!$Q$30,'Fatores de Emissão'!Q61,""))))*1000</f>
        <v>#VALUE!</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t="e">
        <f>IF($F$155='Fatores de Emissão'!$J$30,'Fatores de Emissão'!J62,IF($F$155='Fatores de Emissão'!$K$30,'Fatores de Emissão'!K62,IF($F$155='Fatores de Emissão'!$L$30,'Fatores de Emissão'!L62,IF($F$155='Fatores de Emissão'!$M$30,'Fatores de Emissão'!M62,""))))*1000</f>
        <v>#VALUE!</v>
      </c>
      <c r="H188" s="536" t="e">
        <f>IF($F$155='Fatores de Emissão'!$N$30,'Fatores de Emissão'!N62,IF($F$155='Fatores de Emissão'!$O$30,'Fatores de Emissão'!O62,IF($F$155='Fatores de Emissão'!$P$30,'Fatores de Emissão'!P62,IF($F$155='Fatores de Emissão'!$Q$30,'Fatores de Emissão'!Q62,""))))*1000</f>
        <v>#VALUE!</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t="e">
        <f>IF($F$155='Fatores de Emissão'!$J$30,'Fatores de Emissão'!J63,IF($F$155='Fatores de Emissão'!$K$30,'Fatores de Emissão'!K63,IF($F$155='Fatores de Emissão'!$L$30,'Fatores de Emissão'!L63,IF($F$155='Fatores de Emissão'!$M$30,'Fatores de Emissão'!M63,""))))*1000</f>
        <v>#VALUE!</v>
      </c>
      <c r="H189" s="536" t="e">
        <f>IF($F$155='Fatores de Emissão'!$N$30,'Fatores de Emissão'!N63,IF($F$155='Fatores de Emissão'!$O$30,'Fatores de Emissão'!O63,IF($F$155='Fatores de Emissão'!$P$30,'Fatores de Emissão'!P63,IF($F$155='Fatores de Emissão'!$Q$30,'Fatores de Emissão'!Q63,""))))*1000</f>
        <v>#VALUE!</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t="e">
        <f>IF($F$155='Fatores de Emissão'!$J$30,'Fatores de Emissão'!J64,IF($F$155='Fatores de Emissão'!$K$30,'Fatores de Emissão'!K64,IF($F$155='Fatores de Emissão'!$L$30,'Fatores de Emissão'!L64,IF($F$155='Fatores de Emissão'!$M$30,'Fatores de Emissão'!M64,""))))*1000</f>
        <v>#VALUE!</v>
      </c>
      <c r="H190" s="536" t="e">
        <f>IF($F$155='Fatores de Emissão'!$N$30,'Fatores de Emissão'!N64,IF($F$155='Fatores de Emissão'!$O$30,'Fatores de Emissão'!O64,IF($F$155='Fatores de Emissão'!$P$30,'Fatores de Emissão'!P64,IF($F$155='Fatores de Emissão'!$Q$30,'Fatores de Emissão'!Q64,""))))*1000</f>
        <v>#VALUE!</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t="e">
        <f>IF($F$155='Fatores de Emissão'!$J$30,'Fatores de Emissão'!J65,IF($F$155='Fatores de Emissão'!$K$30,'Fatores de Emissão'!K65,IF($F$155='Fatores de Emissão'!$L$30,'Fatores de Emissão'!L65,IF($F$155='Fatores de Emissão'!$M$30,'Fatores de Emissão'!M65,""))))*1000</f>
        <v>#VALUE!</v>
      </c>
      <c r="H191" s="536" t="e">
        <f>IF($F$155='Fatores de Emissão'!$N$30,'Fatores de Emissão'!N65,IF($F$155='Fatores de Emissão'!$O$30,'Fatores de Emissão'!O65,IF($F$155='Fatores de Emissão'!$P$30,'Fatores de Emissão'!P65,IF($F$155='Fatores de Emissão'!$Q$30,'Fatores de Emissão'!Q65,""))))*1000</f>
        <v>#VALUE!</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t="e">
        <f>IF($F$155='Fatores de Emissão'!$J$30,'Fatores de Emissão'!J66,IF($F$155='Fatores de Emissão'!$K$30,'Fatores de Emissão'!K66,IF($F$155='Fatores de Emissão'!$L$30,'Fatores de Emissão'!L66,IF($F$155='Fatores de Emissão'!$M$30,'Fatores de Emissão'!M66,""))))*1000</f>
        <v>#VALUE!</v>
      </c>
      <c r="H192" s="536" t="e">
        <f>IF($F$155='Fatores de Emissão'!$N$30,'Fatores de Emissão'!N66,IF($F$155='Fatores de Emissão'!$O$30,'Fatores de Emissão'!O66,IF($F$155='Fatores de Emissão'!$P$30,'Fatores de Emissão'!P66,IF($F$155='Fatores de Emissão'!$Q$30,'Fatores de Emissão'!Q66,""))))*1000</f>
        <v>#VALUE!</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t="e">
        <f>IF($F$155='Fatores de Emissão'!$J$30,'Fatores de Emissão'!J67,IF($F$155='Fatores de Emissão'!$K$30,'Fatores de Emissão'!K67,IF($F$155='Fatores de Emissão'!$L$30,'Fatores de Emissão'!L67,IF($F$155='Fatores de Emissão'!$M$30,'Fatores de Emissão'!M67,""))))*1000</f>
        <v>#VALUE!</v>
      </c>
      <c r="H194" s="536" t="e">
        <f>IF($F$155='Fatores de Emissão'!$N$30,'Fatores de Emissão'!N67,IF($F$155='Fatores de Emissão'!$O$30,'Fatores de Emissão'!O67,IF($F$155='Fatores de Emissão'!$P$30,'Fatores de Emissão'!P67,IF($F$155='Fatores de Emissão'!$Q$30,'Fatores de Emissão'!Q67,""))))*1000</f>
        <v>#VALUE!</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t="e">
        <f>IF($F$155='Fatores de Emissão'!$J$30,'Fatores de Emissão'!J68,IF($F$155='Fatores de Emissão'!$K$30,'Fatores de Emissão'!K68,IF($F$155='Fatores de Emissão'!$L$30,'Fatores de Emissão'!L68,IF($F$155='Fatores de Emissão'!$M$30,'Fatores de Emissão'!M68,""))))*1000</f>
        <v>#VALUE!</v>
      </c>
      <c r="H195" s="536" t="e">
        <f>IF($F$155='Fatores de Emissão'!$N$30,'Fatores de Emissão'!N68,IF($F$155='Fatores de Emissão'!$O$30,'Fatores de Emissão'!O68,IF($F$155='Fatores de Emissão'!$P$30,'Fatores de Emissão'!P68,IF($F$155='Fatores de Emissão'!$Q$30,'Fatores de Emissão'!Q68,""))))*1000</f>
        <v>#VALUE!</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t="e">
        <f>IF($F$155='Fatores de Emissão'!$J$30,'Fatores de Emissão'!J69,IF($F$155='Fatores de Emissão'!$K$30,'Fatores de Emissão'!K69,IF($F$155='Fatores de Emissão'!$L$30,'Fatores de Emissão'!L69,IF($F$155='Fatores de Emissão'!$M$30,'Fatores de Emissão'!M69,""))))*1000</f>
        <v>#VALUE!</v>
      </c>
      <c r="H196" s="536" t="e">
        <f>IF($F$155='Fatores de Emissão'!$N$30,'Fatores de Emissão'!N69,IF($F$155='Fatores de Emissão'!$O$30,'Fatores de Emissão'!O69,IF($F$155='Fatores de Emissão'!$P$30,'Fatores de Emissão'!P69,IF($F$155='Fatores de Emissão'!$Q$30,'Fatores de Emissão'!Q69,""))))*1000</f>
        <v>#VALUE!</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t="e">
        <f>IF($F$155='Fatores de Emissão'!$J$30,'Fatores de Emissão'!J70,IF($F$155='Fatores de Emissão'!$K$30,'Fatores de Emissão'!K70,IF($F$155='Fatores de Emissão'!$L$30,'Fatores de Emissão'!L70,IF($F$155='Fatores de Emissão'!$M$30,'Fatores de Emissão'!M70,""))))*1000</f>
        <v>#VALUE!</v>
      </c>
      <c r="H197" s="536" t="e">
        <f>IF($F$155='Fatores de Emissão'!$N$30,'Fatores de Emissão'!N70,IF($F$155='Fatores de Emissão'!$O$30,'Fatores de Emissão'!O70,IF($F$155='Fatores de Emissão'!$P$30,'Fatores de Emissão'!P70,IF($F$155='Fatores de Emissão'!$Q$30,'Fatores de Emissão'!Q70,""))))*1000</f>
        <v>#VALUE!</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t="e">
        <f>IF($F$155='Fatores de Emissão'!$J$30,'Fatores de Emissão'!J71,IF($F$155='Fatores de Emissão'!$K$30,'Fatores de Emissão'!K71,IF($F$155='Fatores de Emissão'!$L$30,'Fatores de Emissão'!L71,IF($F$155='Fatores de Emissão'!$M$30,'Fatores de Emissão'!M71,""))))*1000</f>
        <v>#VALUE!</v>
      </c>
      <c r="H198" s="536" t="e">
        <f>IF($F$155='Fatores de Emissão'!$N$30,'Fatores de Emissão'!N71,IF($F$155='Fatores de Emissão'!$O$30,'Fatores de Emissão'!O71,IF($F$155='Fatores de Emissão'!$P$30,'Fatores de Emissão'!P71,IF($F$155='Fatores de Emissão'!$Q$30,'Fatores de Emissão'!Q71,""))))*1000</f>
        <v>#VALUE!</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t="e">
        <f>IF($F$155='Fatores de Emissão'!$J$30,'Fatores de Emissão'!J72,IF($F$155='Fatores de Emissão'!$K$30,'Fatores de Emissão'!K72,IF($F$155='Fatores de Emissão'!$L$30,'Fatores de Emissão'!L72,IF($F$155='Fatores de Emissão'!$M$30,'Fatores de Emissão'!M72,""))))*1000</f>
        <v>#VALUE!</v>
      </c>
      <c r="H199" s="536" t="e">
        <f>IF($F$155='Fatores de Emissão'!$N$30,'Fatores de Emissão'!N72,IF($F$155='Fatores de Emissão'!$O$30,'Fatores de Emissão'!O72,IF($F$155='Fatores de Emissão'!$P$30,'Fatores de Emissão'!P72,IF($F$155='Fatores de Emissão'!$Q$30,'Fatores de Emissão'!Q72,""))))*1000</f>
        <v>#VALUE!</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t="e">
        <f>IF($F$155='Fatores de Emissão'!$J$30,'Fatores de Emissão'!J73,IF($F$155='Fatores de Emissão'!$K$30,'Fatores de Emissão'!K73,IF($F$155='Fatores de Emissão'!$L$30,'Fatores de Emissão'!L73,IF($F$155='Fatores de Emissão'!$M$30,'Fatores de Emissão'!M73,""))))*1000</f>
        <v>#VALUE!</v>
      </c>
      <c r="H200" s="536" t="e">
        <f>IF($F$155='Fatores de Emissão'!$N$30,'Fatores de Emissão'!N73,IF($F$155='Fatores de Emissão'!$O$30,'Fatores de Emissão'!O73,IF($F$155='Fatores de Emissão'!$P$30,'Fatores de Emissão'!P73,IF($F$155='Fatores de Emissão'!$Q$30,'Fatores de Emissão'!Q73,""))))*1000</f>
        <v>#VALUE!</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t="e">
        <f>IF($F$155='Fatores de Emissão'!$J$30,'Fatores de Emissão'!J74,IF($F$155='Fatores de Emissão'!$K$30,'Fatores de Emissão'!K74,IF($F$155='Fatores de Emissão'!$L$30,'Fatores de Emissão'!L74,IF($F$155='Fatores de Emissão'!$M$30,'Fatores de Emissão'!M74,""))))*1000</f>
        <v>#VALUE!</v>
      </c>
      <c r="H201" s="536" t="e">
        <f>IF($F$155='Fatores de Emissão'!$N$30,'Fatores de Emissão'!N74,IF($F$155='Fatores de Emissão'!$O$30,'Fatores de Emissão'!O74,IF($F$155='Fatores de Emissão'!$P$30,'Fatores de Emissão'!P74,IF($F$155='Fatores de Emissão'!$Q$30,'Fatores de Emissão'!Q74,""))))*1000</f>
        <v>#VALUE!</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t="e">
        <f>IF($F$155='Fatores de Emissão'!$J$30,'Fatores de Emissão'!J75,IF($F$155='Fatores de Emissão'!$K$30,'Fatores de Emissão'!K75,IF($F$155='Fatores de Emissão'!$L$30,'Fatores de Emissão'!L75,IF($F$155='Fatores de Emissão'!$M$30,'Fatores de Emissão'!M75,""))))*1000</f>
        <v>#VALUE!</v>
      </c>
      <c r="H202" s="536" t="e">
        <f>IF($F$155='Fatores de Emissão'!$N$30,'Fatores de Emissão'!N75,IF($F$155='Fatores de Emissão'!$O$30,'Fatores de Emissão'!O75,IF($F$155='Fatores de Emissão'!$P$30,'Fatores de Emissão'!P75,IF($F$155='Fatores de Emissão'!$Q$30,'Fatores de Emissão'!Q75,""))))*1000</f>
        <v>#VALUE!</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0</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topLeftCell="A503" zoomScale="55" zoomScaleNormal="55" workbookViewId="0">
      <selection activeCell="E288" sqref="E288"/>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00" t="str">
        <f>IF(Triagem!C30="", "Não indicou na TRIAGEM se esta folha de adequa ao projeto", IF(Triagem!C30="Não", "Não necessita de preencher esta folha", "Folha a ser preenchida"))</f>
        <v>Não indicou na TRIAGEM se esta folha de adequa ao projeto</v>
      </c>
      <c r="E7" s="1100"/>
      <c r="F7" s="1100"/>
      <c r="G7" s="1100"/>
      <c r="H7" s="1100"/>
      <c r="I7" s="1100"/>
    </row>
    <row r="8" spans="2:15" x14ac:dyDescent="0.3"/>
    <row r="9" spans="2:15" x14ac:dyDescent="0.3"/>
    <row r="10" spans="2:15" x14ac:dyDescent="0.3"/>
    <row r="11" spans="2:15" ht="52.2" customHeight="1" outlineLevel="1" x14ac:dyDescent="0.3">
      <c r="B11" s="1102" t="s">
        <v>1091</v>
      </c>
      <c r="C11" s="1102"/>
      <c r="D11" s="1102"/>
      <c r="E11" s="1102"/>
      <c r="F11" s="1102"/>
      <c r="G11" s="1102"/>
      <c r="H11" s="1102"/>
      <c r="I11" s="1102"/>
      <c r="J11" s="1102"/>
      <c r="K11" s="171"/>
      <c r="L11" s="171"/>
      <c r="M11" s="171"/>
      <c r="N11" s="171"/>
      <c r="O11" s="171"/>
    </row>
    <row r="12" spans="2:15" s="233" customFormat="1" ht="33.6" customHeight="1" outlineLevel="1" x14ac:dyDescent="0.3">
      <c r="B12" s="1101" t="s">
        <v>1356</v>
      </c>
      <c r="C12" s="1101"/>
      <c r="D12" s="1101"/>
      <c r="E12" s="1101"/>
      <c r="F12" s="1101"/>
      <c r="G12" s="1101"/>
      <c r="H12" s="1101"/>
      <c r="I12" s="1101"/>
      <c r="J12" s="1101"/>
      <c r="K12" s="448"/>
      <c r="L12" s="448"/>
      <c r="M12" s="448"/>
      <c r="N12" s="448"/>
      <c r="O12" s="448"/>
    </row>
    <row r="13" spans="2:15" s="233" customFormat="1" ht="34.200000000000003" customHeight="1" outlineLevel="1" x14ac:dyDescent="0.3">
      <c r="B13" s="1101" t="s">
        <v>1357</v>
      </c>
      <c r="C13" s="1101"/>
      <c r="D13" s="1101"/>
      <c r="E13" s="1101"/>
      <c r="F13" s="1101"/>
      <c r="G13" s="1101"/>
      <c r="H13" s="1101"/>
      <c r="I13" s="1101"/>
      <c r="J13" s="1101"/>
      <c r="K13" s="448"/>
      <c r="L13" s="448"/>
      <c r="M13" s="448"/>
      <c r="N13" s="448"/>
      <c r="O13" s="448"/>
    </row>
    <row r="14" spans="2:15" s="233" customFormat="1" ht="19.2" customHeight="1" outlineLevel="1" x14ac:dyDescent="0.3">
      <c r="B14" s="1101" t="s">
        <v>1358</v>
      </c>
      <c r="C14" s="1101"/>
      <c r="D14" s="1101"/>
      <c r="E14" s="1101"/>
      <c r="F14" s="1101"/>
      <c r="G14" s="1101"/>
      <c r="H14" s="1101"/>
      <c r="I14" s="1101"/>
      <c r="J14" s="1101"/>
      <c r="K14" s="448"/>
      <c r="L14" s="448"/>
      <c r="M14" s="448"/>
      <c r="N14" s="448"/>
      <c r="O14" s="448"/>
    </row>
    <row r="15" spans="2:15" s="233" customFormat="1" ht="36" customHeight="1" outlineLevel="1" x14ac:dyDescent="0.3">
      <c r="B15" s="1101" t="s">
        <v>1359</v>
      </c>
      <c r="C15" s="1101"/>
      <c r="D15" s="1101"/>
      <c r="E15" s="1101"/>
      <c r="F15" s="1101"/>
      <c r="G15" s="1101"/>
      <c r="H15" s="1101"/>
      <c r="I15" s="1101"/>
      <c r="J15" s="1101"/>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03" t="s">
        <v>610</v>
      </c>
      <c r="C18" s="1103"/>
      <c r="D18" s="1103"/>
      <c r="E18" s="1103"/>
      <c r="F18" s="1103"/>
      <c r="G18" s="1103"/>
      <c r="H18" s="1103"/>
      <c r="I18" s="1103"/>
      <c r="J18" s="1103"/>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04" t="s">
        <v>1565</v>
      </c>
      <c r="C25" s="1104"/>
      <c r="D25" s="1104"/>
      <c r="E25" s="1104"/>
      <c r="F25" s="1104"/>
      <c r="G25" s="1104"/>
      <c r="H25" s="1104"/>
      <c r="I25" s="1104"/>
      <c r="J25" s="1104"/>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58" t="s">
        <v>612</v>
      </c>
      <c r="C47" s="1058" t="s">
        <v>220</v>
      </c>
      <c r="D47" s="1058" t="s">
        <v>221</v>
      </c>
      <c r="E47" s="1058" t="s">
        <v>611</v>
      </c>
      <c r="F47" s="1058" t="s">
        <v>1567</v>
      </c>
      <c r="G47" s="1058" t="s">
        <v>1092</v>
      </c>
      <c r="H47" s="1058" t="s">
        <v>223</v>
      </c>
      <c r="I47" s="1105" t="s">
        <v>732</v>
      </c>
      <c r="J47" s="1106"/>
      <c r="K47" s="1107"/>
      <c r="L47" s="1058" t="s">
        <v>1364</v>
      </c>
      <c r="M47" s="1058" t="s">
        <v>1365</v>
      </c>
      <c r="N47" s="1058" t="s">
        <v>1366</v>
      </c>
      <c r="O47" s="1058" t="s">
        <v>1367</v>
      </c>
    </row>
    <row r="48" spans="2:16" s="314" customFormat="1" outlineLevel="1" x14ac:dyDescent="0.3">
      <c r="B48" s="1059"/>
      <c r="C48" s="1059"/>
      <c r="D48" s="1059"/>
      <c r="E48" s="1059"/>
      <c r="F48" s="1059"/>
      <c r="G48" s="1059"/>
      <c r="H48" s="1059"/>
      <c r="I48" s="1108"/>
      <c r="J48" s="1109"/>
      <c r="K48" s="1110"/>
      <c r="L48" s="1059"/>
      <c r="M48" s="1059"/>
      <c r="N48" s="1059"/>
      <c r="O48" s="1059"/>
    </row>
    <row r="49" spans="1:15" s="314" customFormat="1" ht="18" outlineLevel="1" x14ac:dyDescent="0.3">
      <c r="B49" s="1060"/>
      <c r="C49" s="1060"/>
      <c r="D49" s="1060"/>
      <c r="E49" s="1060"/>
      <c r="F49" s="1060"/>
      <c r="G49" s="1060"/>
      <c r="H49" s="1060"/>
      <c r="I49" s="257" t="s">
        <v>1368</v>
      </c>
      <c r="J49" s="257" t="s">
        <v>1369</v>
      </c>
      <c r="K49" s="257" t="s">
        <v>1370</v>
      </c>
      <c r="L49" s="1060"/>
      <c r="M49" s="1060"/>
      <c r="N49" s="1060"/>
      <c r="O49" s="1060"/>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outlineLevel="1" x14ac:dyDescent="0.3">
      <c r="B51" s="454"/>
      <c r="C51" s="454"/>
      <c r="D51" s="454"/>
      <c r="E51" s="540"/>
      <c r="F51" s="455"/>
      <c r="G51" s="456"/>
      <c r="H51" s="543" t="str">
        <f>IF(D51="","",VLOOKUP(D51,'Fatores de Emissão'!$D$86:$F$96,3,FALSE))</f>
        <v/>
      </c>
      <c r="I51" s="979" t="str">
        <f>IF(OR($D51="",$D51="-"),"",VLOOKUP($D51,'Fatores de Emissão'!$D$86:$E$96,2,FALSE))</f>
        <v/>
      </c>
      <c r="J51" s="979" t="str">
        <f>IF(OR($D51="",$D51="-"),"",VLOOKUP($D51,'Fatores de Emissão'!$D$86:$G$96,4,FALSE))</f>
        <v/>
      </c>
      <c r="K51" s="979" t="str">
        <f>IF(OR($D51="",$D51="-"),"",VLOOKUP($D51,'Fatores de Emissão'!$D$86:$I$96,6,FALSE))</f>
        <v/>
      </c>
      <c r="L51" s="979" t="str">
        <f>IFERROR(IF((OR($D51="",$D51="-")),"",IF(H51="kg/km",I51*E51/1000,IF(H51="kg/p.km",E51*#REF!*I51/1000,E51*#REF!*I51/1000))),"-")</f>
        <v/>
      </c>
      <c r="M51" s="979" t="str">
        <f>IFERROR(IF((OR($D51="",$D51="-")),"",IF(H51="kg/km",J51*E51/1000,IF(H51="kg/p.km",E51*#REF!*J51/1000,E51*#REF!*J51/1000))),"-")</f>
        <v/>
      </c>
      <c r="N51" s="979" t="str">
        <f>IFERROR(IF((OR($D51="",$D51="-")),"",IF(H51="kg/km",K51*E51/1000,IF(H51="kg/p.km",E51*#REF!*K51/1000,E51*#REF!*K51/1000))),"-")</f>
        <v/>
      </c>
      <c r="O51" s="980" t="str">
        <f>IF(B51="","",IF(D51="","",L51*'Fatores de Emissão'!$E$252+'Combustão Móvel'!M51*'Fatores de Emissão'!$E$248+'Combustão Móvel'!N51*'Fatores de Emissão'!$E$249))</f>
        <v/>
      </c>
    </row>
    <row r="52" spans="1:15" s="428" customFormat="1" outlineLevel="1" x14ac:dyDescent="0.3">
      <c r="B52" s="454"/>
      <c r="C52" s="454"/>
      <c r="D52" s="454"/>
      <c r="E52" s="540"/>
      <c r="F52" s="455"/>
      <c r="G52" s="456"/>
      <c r="H52" s="543" t="str">
        <f>IF(D52="","",VLOOKUP(D52,'Fatores de Emissão'!$D$86:$F$96,3,FALSE))</f>
        <v/>
      </c>
      <c r="I52" s="979" t="str">
        <f>IF(OR($D52="",$D52="-"),"",VLOOKUP($D52,'Fatores de Emissão'!$D$86:$E$96,2,FALSE))</f>
        <v/>
      </c>
      <c r="J52" s="979" t="str">
        <f>IF(OR($D52="",$D52="-"),"",VLOOKUP($D52,'Fatores de Emissão'!$D$86:$G$96,4,FALSE))</f>
        <v/>
      </c>
      <c r="K52" s="979" t="str">
        <f>IF(OR($D52="",$D52="-"),"",VLOOKUP($D52,'Fatores de Emissão'!$D$86:$I$96,6,FALSE))</f>
        <v/>
      </c>
      <c r="L52" s="979" t="str">
        <f>IFERROR(IF((OR($D52="",$D52="-")),"",IF(H52="kg/km",I52*E52/1000,IF(H52="kg/p.km",E52*#REF!*I52/1000,E52*#REF!*I52/1000))),"-")</f>
        <v/>
      </c>
      <c r="M52" s="979" t="str">
        <f>IFERROR(IF((OR($D52="",$D52="-")),"",IF(H52="kg/km",J52*E52/1000,IF(H52="kg/p.km",E52*#REF!*J52/1000,E52*#REF!*J52/1000))),"-")</f>
        <v/>
      </c>
      <c r="N52" s="979" t="str">
        <f>IFERROR(IF((OR($D52="",$D52="-")),"",IF(H52="kg/km",K52*E52/1000,IF(H52="kg/p.km",E52*#REF!*K52/1000,E52*#REF!*K52/1000))),"-")</f>
        <v/>
      </c>
      <c r="O52" s="980" t="str">
        <f>IF(B52="","",IF(D52="","",L52*'Fatores de Emissão'!$E$252+'Combustão Móvel'!M52*'Fatores de Emissão'!$E$248+'Combustão Móvel'!N52*'Fatores de Emissão'!$E$249))</f>
        <v/>
      </c>
    </row>
    <row r="53" spans="1:15" s="428" customFormat="1" outlineLevel="1" x14ac:dyDescent="0.3">
      <c r="B53" s="454"/>
      <c r="C53" s="454"/>
      <c r="D53" s="454"/>
      <c r="E53" s="540"/>
      <c r="F53" s="455"/>
      <c r="G53" s="456"/>
      <c r="H53" s="543" t="str">
        <f>IF(D53="","",VLOOKUP(D53,'Fatores de Emissão'!$D$86:$F$96,3,FALSE))</f>
        <v/>
      </c>
      <c r="I53" s="979" t="str">
        <f>IF(OR($D53="",$D53="-"),"",VLOOKUP($D53,'Fatores de Emissão'!$D$86:$E$96,2,FALSE))</f>
        <v/>
      </c>
      <c r="J53" s="979" t="str">
        <f>IF(OR($D53="",$D53="-"),"",VLOOKUP($D53,'Fatores de Emissão'!$D$86:$G$96,4,FALSE))</f>
        <v/>
      </c>
      <c r="K53" s="979" t="str">
        <f>IF(OR($D53="",$D53="-"),"",VLOOKUP($D53,'Fatores de Emissão'!$D$86:$I$96,6,FALSE))</f>
        <v/>
      </c>
      <c r="L53" s="979" t="str">
        <f>IFERROR(IF((OR($D53="",$D53="-")),"",IF(H53="kg/km",I53*E53/1000,IF(H53="kg/p.km",E53*#REF!*I53/1000,E53*#REF!*I53/1000))),"-")</f>
        <v/>
      </c>
      <c r="M53" s="979" t="str">
        <f>IFERROR(IF((OR($D53="",$D53="-")),"",IF(H53="kg/km",J53*E53/1000,IF(H53="kg/p.km",E53*#REF!*J53/1000,E53*#REF!*J53/1000))),"-")</f>
        <v/>
      </c>
      <c r="N53" s="979" t="str">
        <f>IFERROR(IF((OR($D53="",$D53="-")),"",IF(H53="kg/km",K53*E53/1000,IF(H53="kg/p.km",E53*#REF!*K53/1000,E53*#REF!*K53/1000))),"-")</f>
        <v/>
      </c>
      <c r="O53" s="980" t="str">
        <f>IF(B53="","",IF(D53="","",L53*'Fatores de Emissão'!$E$252+'Combustão Móvel'!M53*'Fatores de Emissão'!$E$248+'Combustão Móvel'!N53*'Fatores de Emissão'!$E$249))</f>
        <v/>
      </c>
    </row>
    <row r="54" spans="1:15" s="357" customFormat="1" outlineLevel="1" x14ac:dyDescent="0.3">
      <c r="B54" s="454"/>
      <c r="C54" s="454"/>
      <c r="D54" s="454"/>
      <c r="E54" s="541"/>
      <c r="F54" s="455"/>
      <c r="G54" s="456"/>
      <c r="H54" s="543" t="str">
        <f>IF(D54="","",VLOOKUP(D54,'Fatores de Emissão'!$D$86:$F$96,3,FALSE))</f>
        <v/>
      </c>
      <c r="I54" s="979" t="str">
        <f>IF(OR($D54="",$D54="-"),"",VLOOKUP($D54,'Fatores de Emissão'!$D$86:$E$96,2,FALSE))</f>
        <v/>
      </c>
      <c r="J54" s="979" t="str">
        <f>IF(OR($D54="",$D54="-"),"",VLOOKUP($D54,'Fatores de Emissão'!$D$86:$G$96,4,FALSE))</f>
        <v/>
      </c>
      <c r="K54" s="979" t="str">
        <f>IF(OR($D54="",$D54="-"),"",VLOOKUP($D54,'Fatores de Emissão'!$D$86:$I$96,6,FALSE))</f>
        <v/>
      </c>
      <c r="L54" s="979" t="str">
        <f>IFERROR(IF((OR($D54="",$D54="-")),"",IF(H54="kg/km",I54*E54/1000,IF(H54="kg/p.km",E54*#REF!*I54/1000,E54*#REF!*I54/1000))),"-")</f>
        <v/>
      </c>
      <c r="M54" s="979" t="str">
        <f>IFERROR(IF((OR($D54="",$D54="-")),"",IF(H54="kg/km",J54*E54/1000,IF(H54="kg/p.km",E54*#REF!*J54/1000,E54*#REF!*J54/1000))),"-")</f>
        <v/>
      </c>
      <c r="N54" s="979" t="str">
        <f>IFERROR(IF((OR($D54="",$D54="-")),"",IF(H54="kg/km",K54*E54/1000,IF(H54="kg/p.km",E54*#REF!*K54/1000,E54*#REF!*K54/1000))),"-")</f>
        <v/>
      </c>
      <c r="O54" s="980" t="str">
        <f>IF(B54="","",IF(D54="","",L54*'Fatores de Emissão'!$E$252+'Combustão Móvel'!M54*'Fatores de Emissão'!$E$248+'Combustão Móvel'!N54*'Fatores de Emissão'!$E$249))</f>
        <v/>
      </c>
    </row>
    <row r="55" spans="1:15" s="357" customFormat="1" outlineLevel="1" x14ac:dyDescent="0.3">
      <c r="B55" s="454"/>
      <c r="C55" s="454"/>
      <c r="D55" s="454"/>
      <c r="E55" s="541"/>
      <c r="F55" s="455"/>
      <c r="G55" s="456"/>
      <c r="H55" s="543" t="str">
        <f>IF(D55="","",VLOOKUP(D55,'Fatores de Emissão'!$D$86:$F$96,3,FALSE))</f>
        <v/>
      </c>
      <c r="I55" s="979" t="str">
        <f>IF(OR($D55="",$D55="-"),"",VLOOKUP($D55,'Fatores de Emissão'!$D$86:$E$96,2,FALSE))</f>
        <v/>
      </c>
      <c r="J55" s="979" t="str">
        <f>IF(OR($D55="",$D55="-"),"",VLOOKUP($D55,'Fatores de Emissão'!$D$86:$G$96,4,FALSE))</f>
        <v/>
      </c>
      <c r="K55" s="979" t="str">
        <f>IF(OR($D55="",$D55="-"),"",VLOOKUP($D55,'Fatores de Emissão'!$D$86:$I$96,6,FALSE))</f>
        <v/>
      </c>
      <c r="L55" s="979" t="str">
        <f>IFERROR(IF((OR($D55="",$D55="-")),"",IF(H55="kg/km",I55*E55/1000,IF(H55="kg/p.km",E55*#REF!*I55/1000,E55*#REF!*I55/1000))),"-")</f>
        <v/>
      </c>
      <c r="M55" s="979" t="str">
        <f>IFERROR(IF((OR($D55="",$D55="-")),"",IF(H55="kg/km",J55*E55/1000,IF(H55="kg/p.km",E55*#REF!*J55/1000,E55*#REF!*J55/1000))),"-")</f>
        <v/>
      </c>
      <c r="N55" s="979" t="str">
        <f>IFERROR(IF((OR($D55="",$D55="-")),"",IF(H55="kg/km",K55*E55/1000,IF(H55="kg/p.km",E55*#REF!*K55/1000,E55*#REF!*K55/1000))),"-")</f>
        <v/>
      </c>
      <c r="O55" s="980" t="str">
        <f>IF(B55="","",IF(D55="","",L55*'Fatores de Emissão'!$E$252+'Combustão Móvel'!M55*'Fatores de Emissão'!$E$248+'Combustão Móvel'!N55*'Fatores de Emissão'!$E$249))</f>
        <v/>
      </c>
    </row>
    <row r="56" spans="1:15" s="357" customFormat="1" outlineLevel="1" x14ac:dyDescent="0.3">
      <c r="B56" s="454"/>
      <c r="C56" s="454"/>
      <c r="D56" s="454"/>
      <c r="E56" s="541"/>
      <c r="F56" s="455"/>
      <c r="G56" s="456"/>
      <c r="H56" s="543" t="str">
        <f>IF(D56="","",VLOOKUP(D56,'Fatores de Emissão'!$D$86:$F$96,3,FALSE))</f>
        <v/>
      </c>
      <c r="I56" s="979" t="str">
        <f>IF(OR($D56="",$D56="-"),"",VLOOKUP($D56,'Fatores de Emissão'!$D$86:$E$96,2,FALSE))</f>
        <v/>
      </c>
      <c r="J56" s="979" t="str">
        <f>IF(OR($D56="",$D56="-"),"",VLOOKUP($D56,'Fatores de Emissão'!$D$86:$G$96,4,FALSE))</f>
        <v/>
      </c>
      <c r="K56" s="979" t="str">
        <f>IF(OR($D56="",$D56="-"),"",VLOOKUP($D56,'Fatores de Emissão'!$D$86:$I$96,6,FALSE))</f>
        <v/>
      </c>
      <c r="L56" s="979" t="str">
        <f>IFERROR(IF((OR($D56="",$D56="-")),"",IF(H56="kg/km",I56*E56/1000,IF(H56="kg/p.km",E56*#REF!*I56/1000,E56*#REF!*I56/1000))),"-")</f>
        <v/>
      </c>
      <c r="M56" s="979" t="str">
        <f>IFERROR(IF((OR($D56="",$D56="-")),"",IF(H56="kg/km",J56*E56/1000,IF(H56="kg/p.km",E56*#REF!*J56/1000,E56*#REF!*J56/1000))),"-")</f>
        <v/>
      </c>
      <c r="N56" s="979" t="str">
        <f>IFERROR(IF((OR($D56="",$D56="-")),"",IF(H56="kg/km",K56*E56/1000,IF(H56="kg/p.km",E56*#REF!*K56/1000,E56*#REF!*K56/1000))),"-")</f>
        <v/>
      </c>
      <c r="O56" s="980" t="str">
        <f>IF(B56="","",IF(D56="","",L56*'Fatores de Emissão'!$E$252+'Combustão Móvel'!M56*'Fatores de Emissão'!$E$248+'Combustão Móvel'!N56*'Fatores de Emissão'!$E$249))</f>
        <v/>
      </c>
    </row>
    <row r="57" spans="1:15" s="357" customFormat="1" outlineLevel="1" x14ac:dyDescent="0.3">
      <c r="B57" s="454"/>
      <c r="C57" s="454"/>
      <c r="D57" s="454"/>
      <c r="E57" s="541"/>
      <c r="F57" s="455"/>
      <c r="G57" s="456"/>
      <c r="H57" s="543" t="str">
        <f>IF(D57="","",VLOOKUP(D57,'Fatores de Emissão'!$D$86:$F$96,3,FALSE))</f>
        <v/>
      </c>
      <c r="I57" s="979" t="str">
        <f>IF(OR($D57="",$D57="-"),"",VLOOKUP($D57,'Fatores de Emissão'!$D$86:$E$96,2,FALSE))</f>
        <v/>
      </c>
      <c r="J57" s="979" t="str">
        <f>IF(OR($D57="",$D57="-"),"",VLOOKUP($D57,'Fatores de Emissão'!$D$86:$G$96,4,FALSE))</f>
        <v/>
      </c>
      <c r="K57" s="979" t="str">
        <f>IF(OR($D57="",$D57="-"),"",VLOOKUP($D57,'Fatores de Emissão'!$D$86:$I$96,6,FALSE))</f>
        <v/>
      </c>
      <c r="L57" s="979" t="str">
        <f>IFERROR(IF((OR($D57="",$D57="-")),"",IF(H57="kg/km",I57*E57/1000,IF(H57="kg/p.km",E57*#REF!*I57/1000,E57*#REF!*I57/1000))),"-")</f>
        <v/>
      </c>
      <c r="M57" s="979" t="str">
        <f>IFERROR(IF((OR($D57="",$D57="-")),"",IF(H57="kg/km",J57*E57/1000,IF(H57="kg/p.km",E57*#REF!*J57/1000,E57*#REF!*J57/1000))),"-")</f>
        <v/>
      </c>
      <c r="N57" s="979" t="str">
        <f>IFERROR(IF((OR($D57="",$D57="-")),"",IF(H57="kg/km",K57*E57/1000,IF(H57="kg/p.km",E57*#REF!*K57/1000,E57*#REF!*K57/1000))),"-")</f>
        <v/>
      </c>
      <c r="O57" s="980" t="str">
        <f>IF(B57="","",IF(D57="","",L57*'Fatores de Emissão'!$E$252+'Combustão Móvel'!M57*'Fatores de Emissão'!$E$248+'Combustão Móvel'!N57*'Fatores de Emissão'!$E$249))</f>
        <v/>
      </c>
    </row>
    <row r="58" spans="1:15" s="357" customFormat="1" outlineLevel="1" x14ac:dyDescent="0.3">
      <c r="B58" s="454"/>
      <c r="C58" s="454"/>
      <c r="D58" s="454"/>
      <c r="E58" s="541"/>
      <c r="F58" s="455"/>
      <c r="G58" s="456"/>
      <c r="H58" s="543" t="str">
        <f>IF(D58="","",VLOOKUP(D58,'Fatores de Emissão'!$D$86:$F$96,3,FALSE))</f>
        <v/>
      </c>
      <c r="I58" s="979" t="str">
        <f>IF(OR($D58="",$D58="-"),"",VLOOKUP($D58,'Fatores de Emissão'!$D$86:$E$96,2,FALSE))</f>
        <v/>
      </c>
      <c r="J58" s="979" t="str">
        <f>IF(OR($D58="",$D58="-"),"",VLOOKUP($D58,'Fatores de Emissão'!$D$86:$G$96,4,FALSE))</f>
        <v/>
      </c>
      <c r="K58" s="979" t="str">
        <f>IF(OR($D58="",$D58="-"),"",VLOOKUP($D58,'Fatores de Emissão'!$D$86:$I$96,6,FALSE))</f>
        <v/>
      </c>
      <c r="L58" s="979" t="str">
        <f>IFERROR(IF((OR($D58="",$D58="-")),"",IF(H58="kg/km",I58*E58/1000,IF(H58="kg/p.km",E58*#REF!*I58/1000,E58*#REF!*I58/1000))),"-")</f>
        <v/>
      </c>
      <c r="M58" s="979" t="str">
        <f>IFERROR(IF((OR($D58="",$D58="-")),"",IF(H58="kg/km",J58*E58/1000,IF(H58="kg/p.km",E58*#REF!*J58/1000,E58*#REF!*J58/1000))),"-")</f>
        <v/>
      </c>
      <c r="N58" s="979" t="str">
        <f>IFERROR(IF((OR($D58="",$D58="-")),"",IF(H58="kg/km",K58*E58/1000,IF(H58="kg/p.km",E58*#REF!*K58/1000,E58*#REF!*K58/1000))),"-")</f>
        <v/>
      </c>
      <c r="O58" s="980" t="str">
        <f>IF(B58="","",IF(D58="","",L58*'Fatores de Emissão'!$E$252+'Combustão Móvel'!M58*'Fatores de Emissão'!$E$248+'Combustão Móvel'!N58*'Fatores de Emissão'!$E$249))</f>
        <v/>
      </c>
    </row>
    <row r="59" spans="1:15" s="357" customFormat="1" outlineLevel="1" x14ac:dyDescent="0.3">
      <c r="B59" s="454"/>
      <c r="C59" s="454"/>
      <c r="D59" s="454"/>
      <c r="E59" s="541"/>
      <c r="F59" s="455"/>
      <c r="G59" s="456"/>
      <c r="H59" s="543" t="str">
        <f>IF(D59="","",VLOOKUP(D59,'Fatores de Emissão'!$D$86:$F$96,3,FALSE))</f>
        <v/>
      </c>
      <c r="I59" s="979" t="str">
        <f>IF(OR($D59="",$D59="-"),"",VLOOKUP($D59,'Fatores de Emissão'!$D$86:$E$96,2,FALSE))</f>
        <v/>
      </c>
      <c r="J59" s="979" t="str">
        <f>IF(OR($D59="",$D59="-"),"",VLOOKUP($D59,'Fatores de Emissão'!$D$86:$G$96,4,FALSE))</f>
        <v/>
      </c>
      <c r="K59" s="979" t="str">
        <f>IF(OR($D59="",$D59="-"),"",VLOOKUP($D59,'Fatores de Emissão'!$D$86:$I$96,6,FALSE))</f>
        <v/>
      </c>
      <c r="L59" s="979" t="str">
        <f>IFERROR(IF((OR($D59="",$D59="-")),"",IF(H59="kg/km",I59*E59/1000,IF(H59="kg/p.km",E59*#REF!*I59/1000,E59*#REF!*I59/1000))),"-")</f>
        <v/>
      </c>
      <c r="M59" s="979" t="str">
        <f>IFERROR(IF((OR($D59="",$D59="-")),"",IF(H59="kg/km",J59*E59/1000,IF(H59="kg/p.km",E59*#REF!*J59/1000,E59*#REF!*J59/1000))),"-")</f>
        <v/>
      </c>
      <c r="N59" s="979" t="str">
        <f>IFERROR(IF((OR($D59="",$D59="-")),"",IF(H59="kg/km",K59*E59/1000,IF(H59="kg/p.km",E59*#REF!*K59/1000,E59*#REF!*K59/1000))),"-")</f>
        <v/>
      </c>
      <c r="O59" s="980" t="str">
        <f>IF(B59="","",IF(D59="","",L59*'Fatores de Emissão'!$E$252+'Combustão Móvel'!M59*'Fatores de Emissão'!$E$248+'Combustão Móvel'!N59*'Fatores de Emissão'!$E$249))</f>
        <v/>
      </c>
    </row>
    <row r="60" spans="1:15" s="357" customFormat="1" outlineLevel="1" x14ac:dyDescent="0.3">
      <c r="B60" s="454"/>
      <c r="C60" s="454"/>
      <c r="D60" s="454"/>
      <c r="E60" s="541"/>
      <c r="F60" s="455"/>
      <c r="G60" s="456"/>
      <c r="H60" s="543" t="str">
        <f>IF(D60="","",VLOOKUP(D60,'Fatores de Emissão'!$D$86:$F$96,3,FALSE))</f>
        <v/>
      </c>
      <c r="I60" s="979" t="str">
        <f>IF(OR($D60="",$D60="-"),"",VLOOKUP($D60,'Fatores de Emissão'!$D$86:$E$96,2,FALSE))</f>
        <v/>
      </c>
      <c r="J60" s="979" t="str">
        <f>IF(OR($D60="",$D60="-"),"",VLOOKUP($D60,'Fatores de Emissão'!$D$86:$G$96,4,FALSE))</f>
        <v/>
      </c>
      <c r="K60" s="979" t="str">
        <f>IF(OR($D60="",$D60="-"),"",VLOOKUP($D60,'Fatores de Emissão'!$D$86:$I$96,6,FALSE))</f>
        <v/>
      </c>
      <c r="L60" s="979" t="str">
        <f>IFERROR(IF((OR($D60="",$D60="-")),"",IF(H60="kg/km",I60*E60/1000,IF(H60="kg/p.km",E60*#REF!*I60/1000,E60*#REF!*I60/1000))),"-")</f>
        <v/>
      </c>
      <c r="M60" s="979" t="str">
        <f>IFERROR(IF((OR($D60="",$D60="-")),"",IF(H60="kg/km",J60*E60/1000,IF(H60="kg/p.km",E60*#REF!*J60/1000,E60*#REF!*J60/1000))),"-")</f>
        <v/>
      </c>
      <c r="N60" s="979" t="str">
        <f>IFERROR(IF((OR($D60="",$D60="-")),"",IF(H60="kg/km",K60*E60/1000,IF(H60="kg/p.km",E60*#REF!*K60/1000,E60*#REF!*K60/1000))),"-")</f>
        <v/>
      </c>
      <c r="O60" s="980" t="str">
        <f>IF(B60="","",IF(D60="","",L60*'Fatores de Emissão'!$E$252+'Combustão Móvel'!M60*'Fatores de Emissão'!$E$248+'Combustão Móvel'!N60*'Fatores de Emissão'!$E$249))</f>
        <v/>
      </c>
    </row>
    <row r="61" spans="1:15" s="357" customFormat="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hidden="1"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hidden="1"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hidden="1"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hidden="1"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hidden="1"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hidden="1"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hidden="1"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hidden="1"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hidden="1"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hidden="1"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hidden="1"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hidden="1"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hidden="1"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hidden="1"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hidden="1"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hidden="1"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hidden="1"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hidden="1"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hidden="1"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hidden="1"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hidden="1"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hidden="1"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hidden="1"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hidden="1"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hidden="1"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hidden="1"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hidden="1"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hidden="1"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hidden="1"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hidden="1"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hidden="1"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hidden="1"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hidden="1"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hidden="1"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hidden="1"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hidden="1"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hidden="1"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hidden="1"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hidden="1"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hidden="1"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hidden="1"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hidden="1"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hidden="1"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hidden="1"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hidden="1"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hidden="1"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hidden="1"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hidden="1"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hidden="1"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hidden="1"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hidden="1"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hidden="1"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hidden="1"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hidden="1"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hidden="1"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hidden="1"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hidden="1"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hidden="1"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hidden="1"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hidden="1"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hidden="1"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hidden="1"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hidden="1"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hidden="1"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hidden="1"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hidden="1"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hidden="1"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hidden="1"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hidden="1"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hidden="1"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hidden="1"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hidden="1"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hidden="1"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hidden="1"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hidden="1"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hidden="1"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hidden="1"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hidden="1"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hidden="1"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hidden="1"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hidden="1"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hidden="1"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hidden="1"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hidden="1"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hidden="1"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hidden="1"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hidden="1"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hidden="1"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9.95" hidden="1"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collapsed="1" x14ac:dyDescent="0.3">
      <c r="B151" s="323" t="s">
        <v>41</v>
      </c>
      <c r="C151" s="280"/>
      <c r="D151" s="280"/>
      <c r="E151" s="280"/>
      <c r="F151" s="280"/>
      <c r="G151" s="280"/>
      <c r="H151" s="280"/>
      <c r="I151" s="324"/>
      <c r="J151" s="1111"/>
      <c r="K151" s="1112"/>
      <c r="L151" s="981">
        <f>SUM(L51:L150)</f>
        <v>0</v>
      </c>
      <c r="M151" s="981">
        <f>SUM(M51:M150)</f>
        <v>0</v>
      </c>
      <c r="N151" s="981">
        <f>SUM(N51:N150)</f>
        <v>0</v>
      </c>
      <c r="O151" s="982">
        <f>SUM(O51:O150)</f>
        <v>0</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58" t="s">
        <v>713</v>
      </c>
      <c r="C165" s="1058" t="s">
        <v>220</v>
      </c>
      <c r="D165" s="1058" t="s">
        <v>221</v>
      </c>
      <c r="E165" s="1058" t="s">
        <v>611</v>
      </c>
      <c r="F165" s="1058" t="s">
        <v>224</v>
      </c>
      <c r="G165" s="1058" t="s">
        <v>222</v>
      </c>
      <c r="H165" s="1058" t="s">
        <v>1568</v>
      </c>
      <c r="I165" s="1058" t="s">
        <v>558</v>
      </c>
      <c r="J165" s="1058" t="s">
        <v>223</v>
      </c>
      <c r="K165" s="1105" t="s">
        <v>618</v>
      </c>
      <c r="L165" s="1106"/>
      <c r="M165" s="1107"/>
      <c r="N165" s="1058" t="s">
        <v>1374</v>
      </c>
      <c r="O165" s="1058" t="s">
        <v>1375</v>
      </c>
      <c r="P165" s="1058" t="s">
        <v>1376</v>
      </c>
      <c r="Q165" s="1058" t="s">
        <v>1377</v>
      </c>
    </row>
    <row r="166" spans="1:17" ht="11.4" customHeight="1" outlineLevel="1" x14ac:dyDescent="0.3">
      <c r="A166" s="314"/>
      <c r="B166" s="1059"/>
      <c r="C166" s="1059"/>
      <c r="D166" s="1059"/>
      <c r="E166" s="1059"/>
      <c r="F166" s="1059"/>
      <c r="G166" s="1059"/>
      <c r="H166" s="1059"/>
      <c r="I166" s="1059"/>
      <c r="J166" s="1059"/>
      <c r="K166" s="1108"/>
      <c r="L166" s="1109"/>
      <c r="M166" s="1110"/>
      <c r="N166" s="1059"/>
      <c r="O166" s="1059"/>
      <c r="P166" s="1059"/>
      <c r="Q166" s="1059"/>
    </row>
    <row r="167" spans="1:17" ht="30" customHeight="1" outlineLevel="1" x14ac:dyDescent="0.3">
      <c r="A167" s="314"/>
      <c r="B167" s="1060"/>
      <c r="C167" s="1060"/>
      <c r="D167" s="1060"/>
      <c r="E167" s="1060"/>
      <c r="F167" s="1060"/>
      <c r="G167" s="1060"/>
      <c r="H167" s="1060"/>
      <c r="I167" s="1060"/>
      <c r="J167" s="1060"/>
      <c r="K167" s="257" t="s">
        <v>1368</v>
      </c>
      <c r="L167" s="257" t="s">
        <v>1369</v>
      </c>
      <c r="M167" s="257" t="s">
        <v>1370</v>
      </c>
      <c r="N167" s="1060"/>
      <c r="O167" s="1060"/>
      <c r="P167" s="1060"/>
      <c r="Q167" s="1060"/>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16"/>
      <c r="M269" s="1117"/>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58" t="s">
        <v>612</v>
      </c>
      <c r="C282" s="1058" t="s">
        <v>220</v>
      </c>
      <c r="D282" s="1058" t="s">
        <v>200</v>
      </c>
      <c r="E282" s="1058" t="s">
        <v>611</v>
      </c>
      <c r="F282" s="1058" t="s">
        <v>224</v>
      </c>
      <c r="G282" s="1058" t="s">
        <v>222</v>
      </c>
      <c r="H282" s="1058" t="s">
        <v>1568</v>
      </c>
      <c r="I282" s="1058" t="s">
        <v>558</v>
      </c>
      <c r="J282" s="1058" t="s">
        <v>223</v>
      </c>
      <c r="K282" s="1105" t="s">
        <v>618</v>
      </c>
      <c r="L282" s="1106"/>
      <c r="M282" s="1107"/>
      <c r="N282" s="1058" t="s">
        <v>1374</v>
      </c>
      <c r="O282" s="1058" t="s">
        <v>1375</v>
      </c>
      <c r="P282" s="1058" t="s">
        <v>1376</v>
      </c>
      <c r="Q282" s="1058" t="s">
        <v>1377</v>
      </c>
    </row>
    <row r="283" spans="1:17" s="314" customFormat="1" ht="11.4" customHeight="1" outlineLevel="1" x14ac:dyDescent="0.3">
      <c r="B283" s="1059"/>
      <c r="C283" s="1059"/>
      <c r="D283" s="1059"/>
      <c r="E283" s="1059"/>
      <c r="F283" s="1059"/>
      <c r="G283" s="1059"/>
      <c r="H283" s="1059"/>
      <c r="I283" s="1059"/>
      <c r="J283" s="1059"/>
      <c r="K283" s="1108"/>
      <c r="L283" s="1109"/>
      <c r="M283" s="1110"/>
      <c r="N283" s="1059"/>
      <c r="O283" s="1059"/>
      <c r="P283" s="1059"/>
      <c r="Q283" s="1059"/>
    </row>
    <row r="284" spans="1:17" s="314" customFormat="1" ht="23.4" customHeight="1" outlineLevel="1" x14ac:dyDescent="0.3">
      <c r="B284" s="1060"/>
      <c r="C284" s="1060"/>
      <c r="D284" s="1060"/>
      <c r="E284" s="1060"/>
      <c r="F284" s="1060"/>
      <c r="G284" s="1060"/>
      <c r="H284" s="1060"/>
      <c r="I284" s="1060"/>
      <c r="J284" s="1060"/>
      <c r="K284" s="257" t="s">
        <v>1368</v>
      </c>
      <c r="L284" s="257" t="s">
        <v>1369</v>
      </c>
      <c r="M284" s="257" t="s">
        <v>1370</v>
      </c>
      <c r="N284" s="1060"/>
      <c r="O284" s="1060"/>
      <c r="P284" s="1060"/>
      <c r="Q284" s="1060"/>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58" t="s">
        <v>713</v>
      </c>
      <c r="C399" s="1058" t="s">
        <v>220</v>
      </c>
      <c r="D399" s="1058" t="s">
        <v>200</v>
      </c>
      <c r="E399" s="1058" t="s">
        <v>611</v>
      </c>
      <c r="F399" s="1058" t="s">
        <v>224</v>
      </c>
      <c r="G399" s="1058" t="s">
        <v>222</v>
      </c>
      <c r="H399" s="1058" t="s">
        <v>1569</v>
      </c>
      <c r="I399" s="1058" t="s">
        <v>558</v>
      </c>
      <c r="J399" s="1058" t="s">
        <v>223</v>
      </c>
      <c r="K399" s="1105" t="s">
        <v>618</v>
      </c>
      <c r="L399" s="1106"/>
      <c r="M399" s="1107"/>
      <c r="N399" s="1058" t="s">
        <v>1374</v>
      </c>
      <c r="O399" s="1058" t="s">
        <v>1375</v>
      </c>
      <c r="P399" s="1058" t="s">
        <v>1376</v>
      </c>
      <c r="Q399" s="1058" t="s">
        <v>1377</v>
      </c>
    </row>
    <row r="400" spans="1:17" ht="13.2" customHeight="1" outlineLevel="1" x14ac:dyDescent="0.3">
      <c r="A400" s="314"/>
      <c r="B400" s="1059"/>
      <c r="C400" s="1059"/>
      <c r="D400" s="1059"/>
      <c r="E400" s="1059"/>
      <c r="F400" s="1059"/>
      <c r="G400" s="1059"/>
      <c r="H400" s="1059"/>
      <c r="I400" s="1059"/>
      <c r="J400" s="1059"/>
      <c r="K400" s="1108"/>
      <c r="L400" s="1109"/>
      <c r="M400" s="1110"/>
      <c r="N400" s="1059"/>
      <c r="O400" s="1059"/>
      <c r="P400" s="1059"/>
      <c r="Q400" s="1059"/>
    </row>
    <row r="401" spans="1:17" ht="28.95" customHeight="1" outlineLevel="1" x14ac:dyDescent="0.3">
      <c r="A401" s="314"/>
      <c r="B401" s="1060"/>
      <c r="C401" s="1060"/>
      <c r="D401" s="1060"/>
      <c r="E401" s="1060"/>
      <c r="F401" s="1060"/>
      <c r="G401" s="1060"/>
      <c r="H401" s="1060"/>
      <c r="I401" s="1060"/>
      <c r="J401" s="1060"/>
      <c r="K401" s="257" t="s">
        <v>1368</v>
      </c>
      <c r="L401" s="257" t="s">
        <v>1369</v>
      </c>
      <c r="M401" s="257" t="s">
        <v>1370</v>
      </c>
      <c r="N401" s="1060"/>
      <c r="O401" s="1060"/>
      <c r="P401" s="1060"/>
      <c r="Q401" s="1060"/>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58" t="s">
        <v>612</v>
      </c>
      <c r="C515" s="1058" t="s">
        <v>220</v>
      </c>
      <c r="D515" s="1058" t="s">
        <v>724</v>
      </c>
      <c r="E515" s="1058" t="s">
        <v>42</v>
      </c>
      <c r="F515" s="1058" t="s">
        <v>731</v>
      </c>
      <c r="G515" s="1058" t="s">
        <v>730</v>
      </c>
      <c r="H515" s="1105" t="s">
        <v>1098</v>
      </c>
      <c r="I515" s="1106"/>
      <c r="J515" s="1107"/>
      <c r="K515" s="1105" t="s">
        <v>1099</v>
      </c>
      <c r="L515" s="1106"/>
      <c r="M515" s="1107"/>
      <c r="N515" s="1058" t="s">
        <v>1377</v>
      </c>
    </row>
    <row r="516" spans="1:16" s="314" customFormat="1" ht="17.399999999999999" customHeight="1" outlineLevel="1" x14ac:dyDescent="0.3">
      <c r="B516" s="1059"/>
      <c r="C516" s="1059"/>
      <c r="D516" s="1059"/>
      <c r="E516" s="1059"/>
      <c r="F516" s="1059"/>
      <c r="G516" s="1059"/>
      <c r="H516" s="1108"/>
      <c r="I516" s="1109"/>
      <c r="J516" s="1110"/>
      <c r="K516" s="1108"/>
      <c r="L516" s="1109"/>
      <c r="M516" s="1110"/>
      <c r="N516" s="1059"/>
    </row>
    <row r="517" spans="1:16" s="314" customFormat="1" ht="17.399999999999999" customHeight="1" outlineLevel="1" x14ac:dyDescent="0.3">
      <c r="B517" s="1060"/>
      <c r="C517" s="1060"/>
      <c r="D517" s="1060"/>
      <c r="E517" s="1060"/>
      <c r="F517" s="1060"/>
      <c r="G517" s="1060"/>
      <c r="H517" s="257" t="s">
        <v>1368</v>
      </c>
      <c r="I517" s="257" t="s">
        <v>1369</v>
      </c>
      <c r="J517" s="257" t="s">
        <v>1370</v>
      </c>
      <c r="K517" s="257" t="s">
        <v>1368</v>
      </c>
      <c r="L517" s="257" t="s">
        <v>1369</v>
      </c>
      <c r="M517" s="257" t="s">
        <v>1370</v>
      </c>
      <c r="N517" s="361" t="s">
        <v>1100</v>
      </c>
    </row>
    <row r="518" spans="1:16" s="453" customFormat="1" ht="42"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outlineLevel="1" x14ac:dyDescent="0.3">
      <c r="B519" s="454"/>
      <c r="C519" s="454"/>
      <c r="D519" s="454"/>
      <c r="E519" s="557" t="str">
        <f>IF(D519="","",VLOOKUP(D519,'Fatores de Emissão'!$C$145:$K$159,2,FALSE))</f>
        <v/>
      </c>
      <c r="F519" s="540"/>
      <c r="G519" s="557" t="str">
        <f>IF(D519="","",VLOOKUP($D519,'Fatores de Emissão'!$C$145:$K$159,3,FALSE))</f>
        <v/>
      </c>
      <c r="H519" s="979" t="str">
        <f>IF(D519="","",VLOOKUP($D519,'Fatores de Emissão'!$C$145:$K$159,4,FALSE))</f>
        <v/>
      </c>
      <c r="I519" s="979" t="str">
        <f>IF(D519="","",VLOOKUP(D519,'Fatores de Emissão'!$C$145:$K$159,6,FALSE))</f>
        <v/>
      </c>
      <c r="J519" s="979" t="str">
        <f>IF(D519="","",VLOOKUP(D519,'Fatores de Emissão'!$C$145:$K$159,8,FALSE))</f>
        <v/>
      </c>
      <c r="K519" s="979" t="str">
        <f>IF(D519="","",H519*$F519/1000)</f>
        <v/>
      </c>
      <c r="L519" s="979" t="str">
        <f>IF(D519="","",I519*$F519/1000)</f>
        <v/>
      </c>
      <c r="M519" s="979" t="str">
        <f>IF(D519="","",J519*$F519/1000)</f>
        <v/>
      </c>
      <c r="N519" s="980" t="str">
        <f>IF(D519="","",IF(B519="","",IF(D519="","",K519*'Fatores de Emissão'!$E$252+'Combustão Móvel'!L519*'Fatores de Emissão'!$E$248+'Combustão Móvel'!M519*'Fatores de Emissão'!$E$249)))</f>
        <v/>
      </c>
    </row>
    <row r="520" spans="1:16" outlineLevel="1" x14ac:dyDescent="0.3">
      <c r="B520" s="454"/>
      <c r="C520" s="454"/>
      <c r="D520" s="454"/>
      <c r="E520" s="557" t="str">
        <f>IF(D520="","",VLOOKUP(D520,'Fatores de Emissão'!$C$145:$K$159,2,FALSE))</f>
        <v/>
      </c>
      <c r="F520" s="540"/>
      <c r="G520" s="557" t="str">
        <f>IF(D520="","",VLOOKUP($D520,'Fatores de Emissão'!$C$145:$K$159,3,FALSE))</f>
        <v/>
      </c>
      <c r="H520" s="979" t="str">
        <f>IF(D520="","",VLOOKUP($D520,'Fatores de Emissão'!$C$145:$K$159,4,FALSE))</f>
        <v/>
      </c>
      <c r="I520" s="979" t="str">
        <f>IF(D520="","",VLOOKUP(D520,'Fatores de Emissão'!$C$145:$K$159,6,FALSE))</f>
        <v/>
      </c>
      <c r="J520" s="979" t="str">
        <f>IF(D520="","",VLOOKUP(D520,'Fatores de Emissão'!$C$145:$K$159,8,FALSE))</f>
        <v/>
      </c>
      <c r="K520" s="979" t="str">
        <f t="shared" ref="K520:K551" si="30">IF(D520="","",H520*$F520/1000)</f>
        <v/>
      </c>
      <c r="L520" s="979" t="str">
        <f t="shared" ref="L520:L551" si="31">IF(E520="","",I520*$F520/1000)</f>
        <v/>
      </c>
      <c r="M520" s="979" t="str">
        <f t="shared" ref="M520:M551" si="32">IF(D520="","",J520*$F520/1000)</f>
        <v/>
      </c>
      <c r="N520" s="980" t="str">
        <f>IF(D520="","",IF(B520="","",IF(D520="","",K520*'Fatores de Emissão'!$E$252+'Combustão Móvel'!L520*'Fatores de Emissão'!$E$248+'Combustão Móvel'!M520*'Fatores de Emissão'!$E$249)))</f>
        <v/>
      </c>
    </row>
    <row r="521" spans="1:16" outlineLevel="1" x14ac:dyDescent="0.3">
      <c r="B521" s="454"/>
      <c r="C521" s="454"/>
      <c r="D521" s="454"/>
      <c r="E521" s="557" t="str">
        <f>IF(D521="","",VLOOKUP(D521,'Fatores de Emissão'!$C$145:$K$159,2,FALSE))</f>
        <v/>
      </c>
      <c r="F521" s="540"/>
      <c r="G521" s="557" t="str">
        <f>IF(D521="","",VLOOKUP($D521,'Fatores de Emissão'!$C$145:$K$159,3,FALSE))</f>
        <v/>
      </c>
      <c r="H521" s="979" t="str">
        <f>IF(D521="","",VLOOKUP($D521,'Fatores de Emissão'!$C$145:$K$159,4,FALSE))</f>
        <v/>
      </c>
      <c r="I521" s="979" t="str">
        <f>IF(D521="","",VLOOKUP(D521,'Fatores de Emissão'!$C$145:$K$159,6,FALSE))</f>
        <v/>
      </c>
      <c r="J521" s="979" t="str">
        <f>IF(D521="","",VLOOKUP(D521,'Fatores de Emissão'!$C$145:$K$159,8,FALSE))</f>
        <v/>
      </c>
      <c r="K521" s="979" t="str">
        <f t="shared" si="30"/>
        <v/>
      </c>
      <c r="L521" s="979" t="str">
        <f t="shared" si="31"/>
        <v/>
      </c>
      <c r="M521" s="979" t="str">
        <f t="shared" si="32"/>
        <v/>
      </c>
      <c r="N521" s="980" t="str">
        <f>IF(D521="","",IF(B521="","",IF(D521="","",K521*'Fatores de Emissão'!$E$252+'Combustão Móvel'!L521*'Fatores de Emissão'!$E$248+'Combustão Móvel'!M521*'Fatores de Emissão'!$E$249)))</f>
        <v/>
      </c>
    </row>
    <row r="522" spans="1:16" outlineLevel="1" x14ac:dyDescent="0.3">
      <c r="B522" s="454"/>
      <c r="C522" s="454"/>
      <c r="D522" s="454"/>
      <c r="E522" s="557" t="str">
        <f>IF(D522="","",VLOOKUP(D522,'Fatores de Emissão'!$C$145:$K$159,2,FALSE))</f>
        <v/>
      </c>
      <c r="F522" s="540"/>
      <c r="G522" s="557" t="str">
        <f>IF(D522="","",VLOOKUP($D522,'Fatores de Emissão'!$C$145:$K$159,3,FALSE))</f>
        <v/>
      </c>
      <c r="H522" s="979" t="str">
        <f>IF(D522="","",VLOOKUP($D522,'Fatores de Emissão'!$C$145:$K$159,4,FALSE))</f>
        <v/>
      </c>
      <c r="I522" s="979" t="str">
        <f>IF(D522="","",VLOOKUP(D522,'Fatores de Emissão'!$C$145:$K$159,6,FALSE))</f>
        <v/>
      </c>
      <c r="J522" s="979" t="str">
        <f>IF(D522="","",VLOOKUP(D522,'Fatores de Emissão'!$C$145:$K$159,8,FALSE))</f>
        <v/>
      </c>
      <c r="K522" s="979" t="str">
        <f t="shared" si="30"/>
        <v/>
      </c>
      <c r="L522" s="979" t="str">
        <f t="shared" si="31"/>
        <v/>
      </c>
      <c r="M522" s="979" t="str">
        <f t="shared" si="32"/>
        <v/>
      </c>
      <c r="N522" s="980" t="str">
        <f>IF(D522="","",IF(B522="","",IF(D522="","",K522*'Fatores de Emissão'!$E$252+'Combustão Móvel'!L522*'Fatores de Emissão'!$E$248+'Combustão Móvel'!M522*'Fatores de Emissão'!$E$249)))</f>
        <v/>
      </c>
    </row>
    <row r="523" spans="1:16" outlineLevel="1" x14ac:dyDescent="0.3">
      <c r="B523" s="454"/>
      <c r="C523" s="454"/>
      <c r="D523" s="454"/>
      <c r="E523" s="557" t="str">
        <f>IF(D523="","",VLOOKUP(D523,'Fatores de Emissão'!$C$145:$K$159,2,FALSE))</f>
        <v/>
      </c>
      <c r="F523" s="540"/>
      <c r="G523" s="557" t="str">
        <f>IF(D523="","",VLOOKUP($D523,'Fatores de Emissão'!$C$145:$K$159,3,FALSE))</f>
        <v/>
      </c>
      <c r="H523" s="979" t="str">
        <f>IF(D523="","",VLOOKUP($D523,'Fatores de Emissão'!$C$145:$K$159,4,FALSE))</f>
        <v/>
      </c>
      <c r="I523" s="979" t="str">
        <f>IF(D523="","",VLOOKUP(D523,'Fatores de Emissão'!$C$145:$K$159,6,FALSE))</f>
        <v/>
      </c>
      <c r="J523" s="979" t="str">
        <f>IF(D523="","",VLOOKUP(D523,'Fatores de Emissão'!$C$145:$K$159,8,FALSE))</f>
        <v/>
      </c>
      <c r="K523" s="979" t="str">
        <f t="shared" si="30"/>
        <v/>
      </c>
      <c r="L523" s="979" t="str">
        <f t="shared" si="31"/>
        <v/>
      </c>
      <c r="M523" s="979" t="str">
        <f t="shared" si="32"/>
        <v/>
      </c>
      <c r="N523" s="980" t="str">
        <f>IF(D523="","",IF(B523="","",IF(D523="","",K523*'Fatores de Emissão'!$E$252+'Combustão Móvel'!L523*'Fatores de Emissão'!$E$248+'Combustão Móvel'!M523*'Fatores de Emissão'!$E$249)))</f>
        <v/>
      </c>
    </row>
    <row r="524" spans="1:16" outlineLevel="1" x14ac:dyDescent="0.3">
      <c r="B524" s="454"/>
      <c r="C524" s="454"/>
      <c r="D524" s="454"/>
      <c r="E524" s="557" t="str">
        <f>IF(D524="","",VLOOKUP(D524,'Fatores de Emissão'!$C$145:$K$159,2,FALSE))</f>
        <v/>
      </c>
      <c r="F524" s="540"/>
      <c r="G524" s="557" t="str">
        <f>IF(D524="","",VLOOKUP($D524,'Fatores de Emissão'!$C$145:$K$159,3,FALSE))</f>
        <v/>
      </c>
      <c r="H524" s="979" t="str">
        <f>IF(D524="","",VLOOKUP($D524,'Fatores de Emissão'!$C$145:$K$159,4,FALSE))</f>
        <v/>
      </c>
      <c r="I524" s="979" t="str">
        <f>IF(D524="","",VLOOKUP(D524,'Fatores de Emissão'!$C$145:$K$159,6,FALSE))</f>
        <v/>
      </c>
      <c r="J524" s="979" t="str">
        <f>IF(D524="","",VLOOKUP(D524,'Fatores de Emissão'!$C$145:$K$159,8,FALSE))</f>
        <v/>
      </c>
      <c r="K524" s="979" t="str">
        <f t="shared" si="30"/>
        <v/>
      </c>
      <c r="L524" s="979" t="str">
        <f t="shared" si="31"/>
        <v/>
      </c>
      <c r="M524" s="979" t="str">
        <f t="shared" si="32"/>
        <v/>
      </c>
      <c r="N524" s="980" t="str">
        <f>IF(D524="","",IF(B524="","",IF(D524="","",K524*'Fatores de Emissão'!$E$252+'Combustão Móvel'!L524*'Fatores de Emissão'!$E$248+'Combustão Móvel'!M524*'Fatores de Emissão'!$E$249)))</f>
        <v/>
      </c>
    </row>
    <row r="525" spans="1:16" hidden="1" outlineLevel="2" x14ac:dyDescent="0.3">
      <c r="B525" s="454"/>
      <c r="C525" s="454"/>
      <c r="D525" s="454"/>
      <c r="E525" s="557" t="str">
        <f>IF(D525="","",VLOOKUP(D525,'Fatores de Emissão'!$C$145:$K$159,2,FALSE))</f>
        <v/>
      </c>
      <c r="F525" s="540"/>
      <c r="G525" s="557" t="str">
        <f>IF(D525="","",VLOOKUP($D525,'Fatores de Emissão'!$C$145:$K$159,3,FALSE))</f>
        <v/>
      </c>
      <c r="H525" s="544" t="str">
        <f>IF(D525="","",VLOOKUP($D525,'Fatores de Emissão'!$C$145:$K$159,4,FALSE))</f>
        <v/>
      </c>
      <c r="I525" s="544" t="str">
        <f>IF(D525="","",VLOOKUP(D525,'Fatores de Emissão'!$C$145:$K$159,6,FALSE))</f>
        <v/>
      </c>
      <c r="J525" s="544" t="str">
        <f>IF(D525="","",VLOOKUP(D525,'Fatores de Emissão'!$C$145:$K$159,8,FALSE))</f>
        <v/>
      </c>
      <c r="K525" s="544" t="str">
        <f t="shared" si="30"/>
        <v/>
      </c>
      <c r="L525" s="544" t="str">
        <f t="shared" si="31"/>
        <v/>
      </c>
      <c r="M525" s="544" t="str">
        <f t="shared" si="32"/>
        <v/>
      </c>
      <c r="N525" s="542" t="str">
        <f>IF(D525="","",IF(B525="","",IF(D525="","",K525*'Fatores de Emissão'!$E$252+'Combustão Móvel'!L525*'Fatores de Emissão'!$E$248+'Combustão Móvel'!M525*'Fatores de Emissão'!$E$249)))</f>
        <v/>
      </c>
    </row>
    <row r="526" spans="1:16" hidden="1" outlineLevel="2" x14ac:dyDescent="0.3">
      <c r="B526" s="454"/>
      <c r="C526" s="454"/>
      <c r="D526" s="454"/>
      <c r="E526" s="557" t="str">
        <f>IF(D526="","",VLOOKUP(D526,'Fatores de Emissão'!$C$145:$K$159,2,FALSE))</f>
        <v/>
      </c>
      <c r="F526" s="540"/>
      <c r="G526" s="557" t="str">
        <f>IF(D526="","",VLOOKUP($D526,'Fatores de Emissão'!$C$145:$K$159,3,FALSE))</f>
        <v/>
      </c>
      <c r="H526" s="544" t="str">
        <f>IF(D526="","",VLOOKUP($D526,'Fatores de Emissão'!$C$145:$K$159,4,FALSE))</f>
        <v/>
      </c>
      <c r="I526" s="544" t="str">
        <f>IF(D526="","",VLOOKUP(D526,'Fatores de Emissão'!$C$145:$K$159,6,FALSE))</f>
        <v/>
      </c>
      <c r="J526" s="544" t="str">
        <f>IF(D526="","",VLOOKUP(D526,'Fatores de Emissão'!$C$145:$K$159,8,FALSE))</f>
        <v/>
      </c>
      <c r="K526" s="544" t="str">
        <f t="shared" si="30"/>
        <v/>
      </c>
      <c r="L526" s="544" t="str">
        <f t="shared" si="31"/>
        <v/>
      </c>
      <c r="M526" s="544" t="str">
        <f t="shared" si="32"/>
        <v/>
      </c>
      <c r="N526" s="542" t="str">
        <f>IF(D526="","",IF(B526="","",IF(D526="","",K526*'Fatores de Emissão'!$E$252+'Combustão Móvel'!L526*'Fatores de Emissão'!$E$248+'Combustão Móvel'!M526*'Fatores de Emissão'!$E$249)))</f>
        <v/>
      </c>
    </row>
    <row r="527" spans="1:16" hidden="1" outlineLevel="2" x14ac:dyDescent="0.3">
      <c r="B527" s="454"/>
      <c r="C527" s="454"/>
      <c r="D527" s="454"/>
      <c r="E527" s="557" t="str">
        <f>IF(D527="","",VLOOKUP(D527,'Fatores de Emissão'!$C$145:$K$159,2,FALSE))</f>
        <v/>
      </c>
      <c r="F527" s="540"/>
      <c r="G527" s="557" t="str">
        <f>IF(D527="","",VLOOKUP($D527,'Fatores de Emissão'!$C$145:$K$159,3,FALSE))</f>
        <v/>
      </c>
      <c r="H527" s="544" t="str">
        <f>IF(D527="","",VLOOKUP($D527,'Fatores de Emissão'!$C$145:$K$159,4,FALSE))</f>
        <v/>
      </c>
      <c r="I527" s="544" t="str">
        <f>IF(D527="","",VLOOKUP(D527,'Fatores de Emissão'!$C$145:$K$159,6,FALSE))</f>
        <v/>
      </c>
      <c r="J527" s="544" t="str">
        <f>IF(D527="","",VLOOKUP(D527,'Fatores de Emissão'!$C$145:$K$159,8,FALSE))</f>
        <v/>
      </c>
      <c r="K527" s="544" t="str">
        <f t="shared" si="30"/>
        <v/>
      </c>
      <c r="L527" s="544" t="str">
        <f t="shared" si="31"/>
        <v/>
      </c>
      <c r="M527" s="544" t="str">
        <f t="shared" si="32"/>
        <v/>
      </c>
      <c r="N527" s="542" t="str">
        <f>IF(D527="","",IF(B527="","",IF(D527="","",K527*'Fatores de Emissão'!$E$252+'Combustão Móvel'!L527*'Fatores de Emissão'!$E$248+'Combustão Móvel'!M527*'Fatores de Emissão'!$E$249)))</f>
        <v/>
      </c>
    </row>
    <row r="528" spans="1:16" hidden="1" outlineLevel="2" x14ac:dyDescent="0.3">
      <c r="B528" s="454"/>
      <c r="C528" s="454"/>
      <c r="D528" s="454"/>
      <c r="E528" s="557" t="str">
        <f>IF(D528="","",VLOOKUP(D528,'Fatores de Emissão'!$C$145:$K$159,2,FALSE))</f>
        <v/>
      </c>
      <c r="F528" s="540"/>
      <c r="G528" s="557" t="str">
        <f>IF(D528="","",VLOOKUP($D528,'Fatores de Emissão'!$C$145:$K$159,3,FALSE))</f>
        <v/>
      </c>
      <c r="H528" s="544" t="str">
        <f>IF(D528="","",VLOOKUP($D528,'Fatores de Emissão'!$C$145:$K$159,4,FALSE))</f>
        <v/>
      </c>
      <c r="I528" s="544" t="str">
        <f>IF(D528="","",VLOOKUP(D528,'Fatores de Emissão'!$C$145:$K$159,6,FALSE))</f>
        <v/>
      </c>
      <c r="J528" s="544" t="str">
        <f>IF(D528="","",VLOOKUP(D528,'Fatores de Emissão'!$C$145:$K$159,8,FALSE))</f>
        <v/>
      </c>
      <c r="K528" s="544" t="str">
        <f t="shared" si="30"/>
        <v/>
      </c>
      <c r="L528" s="544" t="str">
        <f t="shared" si="31"/>
        <v/>
      </c>
      <c r="M528" s="544" t="str">
        <f t="shared" si="32"/>
        <v/>
      </c>
      <c r="N528" s="542" t="str">
        <f>IF(D528="","",IF(B528="","",IF(D528="","",K528*'Fatores de Emissão'!$E$252+'Combustão Móvel'!L528*'Fatores de Emissão'!$E$248+'Combustão Móvel'!M528*'Fatores de Emissão'!$E$249)))</f>
        <v/>
      </c>
    </row>
    <row r="529" spans="2:14" hidden="1" outlineLevel="2" x14ac:dyDescent="0.3">
      <c r="B529" s="454"/>
      <c r="C529" s="454"/>
      <c r="D529" s="454"/>
      <c r="E529" s="557" t="str">
        <f>IF(D529="","",VLOOKUP(D529,'Fatores de Emissão'!$C$145:$K$159,2,FALSE))</f>
        <v/>
      </c>
      <c r="F529" s="540"/>
      <c r="G529" s="557" t="str">
        <f>IF(D529="","",VLOOKUP($D529,'Fatores de Emissão'!$C$145:$K$159,3,FALSE))</f>
        <v/>
      </c>
      <c r="H529" s="544" t="str">
        <f>IF(D529="","",VLOOKUP($D529,'Fatores de Emissão'!$C$145:$K$159,4,FALSE))</f>
        <v/>
      </c>
      <c r="I529" s="544" t="str">
        <f>IF(D529="","",VLOOKUP(D529,'Fatores de Emissão'!$C$145:$K$159,6,FALSE))</f>
        <v/>
      </c>
      <c r="J529" s="544" t="str">
        <f>IF(D529="","",VLOOKUP(D529,'Fatores de Emissão'!$C$145:$K$159,8,FALSE))</f>
        <v/>
      </c>
      <c r="K529" s="544" t="str">
        <f t="shared" si="30"/>
        <v/>
      </c>
      <c r="L529" s="544" t="str">
        <f t="shared" si="31"/>
        <v/>
      </c>
      <c r="M529" s="544" t="str">
        <f t="shared" si="32"/>
        <v/>
      </c>
      <c r="N529" s="542" t="str">
        <f>IF(D529="","",IF(B529="","",IF(D529="","",K529*'Fatores de Emissão'!$E$252+'Combustão Móvel'!L529*'Fatores de Emissão'!$E$248+'Combustão Móvel'!M529*'Fatores de Emissão'!$E$249)))</f>
        <v/>
      </c>
    </row>
    <row r="530" spans="2:14" hidden="1" outlineLevel="2" x14ac:dyDescent="0.3">
      <c r="B530" s="454"/>
      <c r="C530" s="454"/>
      <c r="D530" s="454"/>
      <c r="E530" s="557" t="str">
        <f>IF(D530="","",VLOOKUP(D530,'Fatores de Emissão'!$C$145:$K$159,2,FALSE))</f>
        <v/>
      </c>
      <c r="F530" s="540"/>
      <c r="G530" s="557" t="str">
        <f>IF(D530="","",VLOOKUP($D530,'Fatores de Emissão'!$C$145:$K$159,3,FALSE))</f>
        <v/>
      </c>
      <c r="H530" s="544" t="str">
        <f>IF(D530="","",VLOOKUP($D530,'Fatores de Emissão'!$C$145:$K$159,4,FALSE))</f>
        <v/>
      </c>
      <c r="I530" s="544" t="str">
        <f>IF(D530="","",VLOOKUP(D530,'Fatores de Emissão'!$C$145:$K$159,6,FALSE))</f>
        <v/>
      </c>
      <c r="J530" s="544" t="str">
        <f>IF(D530="","",VLOOKUP(D530,'Fatores de Emissão'!$C$145:$K$159,8,FALSE))</f>
        <v/>
      </c>
      <c r="K530" s="544" t="str">
        <f t="shared" si="30"/>
        <v/>
      </c>
      <c r="L530" s="544" t="str">
        <f t="shared" si="31"/>
        <v/>
      </c>
      <c r="M530" s="544" t="str">
        <f t="shared" si="32"/>
        <v/>
      </c>
      <c r="N530" s="542" t="str">
        <f>IF(D530="","",IF(B530="","",IF(D530="","",K530*'Fatores de Emissão'!$E$252+'Combustão Móvel'!L530*'Fatores de Emissão'!$E$248+'Combustão Móvel'!M530*'Fatores de Emissão'!$E$249)))</f>
        <v/>
      </c>
    </row>
    <row r="531" spans="2:14" hidden="1" outlineLevel="2" x14ac:dyDescent="0.3">
      <c r="B531" s="454"/>
      <c r="C531" s="454"/>
      <c r="D531" s="454"/>
      <c r="E531" s="557" t="str">
        <f>IF(D531="","",VLOOKUP(D531,'Fatores de Emissão'!$C$145:$K$159,2,FALSE))</f>
        <v/>
      </c>
      <c r="F531" s="540"/>
      <c r="G531" s="557" t="str">
        <f>IF(D531="","",VLOOKUP($D531,'Fatores de Emissão'!$C$145:$K$159,3,FALSE))</f>
        <v/>
      </c>
      <c r="H531" s="544" t="str">
        <f>IF(D531="","",VLOOKUP($D531,'Fatores de Emissão'!$C$145:$K$159,4,FALSE))</f>
        <v/>
      </c>
      <c r="I531" s="544" t="str">
        <f>IF(D531="","",VLOOKUP(D531,'Fatores de Emissão'!$C$145:$K$159,6,FALSE))</f>
        <v/>
      </c>
      <c r="J531" s="544" t="str">
        <f>IF(D531="","",VLOOKUP(D531,'Fatores de Emissão'!$C$145:$K$159,8,FALSE))</f>
        <v/>
      </c>
      <c r="K531" s="544" t="str">
        <f t="shared" si="30"/>
        <v/>
      </c>
      <c r="L531" s="544" t="str">
        <f t="shared" si="31"/>
        <v/>
      </c>
      <c r="M531" s="544" t="str">
        <f t="shared" si="32"/>
        <v/>
      </c>
      <c r="N531" s="542" t="str">
        <f>IF(D531="","",IF(B531="","",IF(D531="","",K531*'Fatores de Emissão'!$E$252+'Combustão Móvel'!L531*'Fatores de Emissão'!$E$248+'Combustão Móvel'!M531*'Fatores de Emissão'!$E$249)))</f>
        <v/>
      </c>
    </row>
    <row r="532" spans="2:14" hidden="1" outlineLevel="2" x14ac:dyDescent="0.3">
      <c r="B532" s="454"/>
      <c r="C532" s="454"/>
      <c r="D532" s="454"/>
      <c r="E532" s="557" t="str">
        <f>IF(D532="","",VLOOKUP(D532,'Fatores de Emissão'!$C$145:$K$159,2,FALSE))</f>
        <v/>
      </c>
      <c r="F532" s="540"/>
      <c r="G532" s="557" t="str">
        <f>IF(D532="","",VLOOKUP($D532,'Fatores de Emissão'!$C$145:$K$159,3,FALSE))</f>
        <v/>
      </c>
      <c r="H532" s="544" t="str">
        <f>IF(D532="","",VLOOKUP($D532,'Fatores de Emissão'!$C$145:$K$159,4,FALSE))</f>
        <v/>
      </c>
      <c r="I532" s="544" t="str">
        <f>IF(D532="","",VLOOKUP(D532,'Fatores de Emissão'!$C$145:$K$159,6,FALSE))</f>
        <v/>
      </c>
      <c r="J532" s="544" t="str">
        <f>IF(D532="","",VLOOKUP(D532,'Fatores de Emissão'!$C$145:$K$159,8,FALSE))</f>
        <v/>
      </c>
      <c r="K532" s="544" t="str">
        <f t="shared" si="30"/>
        <v/>
      </c>
      <c r="L532" s="544" t="str">
        <f t="shared" si="31"/>
        <v/>
      </c>
      <c r="M532" s="544" t="str">
        <f t="shared" si="32"/>
        <v/>
      </c>
      <c r="N532" s="542" t="str">
        <f>IF(D532="","",IF(B532="","",IF(D532="","",K532*'Fatores de Emissão'!$E$252+'Combustão Móvel'!L532*'Fatores de Emissão'!$E$248+'Combustão Móvel'!M532*'Fatores de Emissão'!$E$249)))</f>
        <v/>
      </c>
    </row>
    <row r="533" spans="2:14" hidden="1"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hidden="1"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hidden="1"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hidden="1"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hidden="1"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hidden="1"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hidden="1"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hidden="1"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hidden="1"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hidden="1"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hidden="1"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hidden="1"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hidden="1"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hidden="1"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hidden="1"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hidden="1"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hidden="1"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hidden="1"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hidden="1"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collapsed="1" x14ac:dyDescent="0.3">
      <c r="B552" s="1121" t="s">
        <v>41</v>
      </c>
      <c r="C552" s="1121"/>
      <c r="D552" s="1121"/>
      <c r="E552" s="1121"/>
      <c r="F552" s="1121"/>
      <c r="G552" s="1121"/>
      <c r="H552" s="1121"/>
      <c r="I552" s="1121"/>
      <c r="J552" s="1121"/>
      <c r="K552" s="979">
        <f>SUM(K519:K551)</f>
        <v>0</v>
      </c>
      <c r="L552" s="979">
        <f>SUM(L519:L551)</f>
        <v>0</v>
      </c>
      <c r="M552" s="979">
        <f>SUM(M519:M551)</f>
        <v>0</v>
      </c>
      <c r="N552" s="980">
        <f>SUM(N519:N551)</f>
        <v>0</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099" t="s">
        <v>1481</v>
      </c>
      <c r="F558" s="1099"/>
      <c r="G558" s="1099"/>
      <c r="H558" s="304"/>
    </row>
    <row r="559" spans="2:14" s="357" customFormat="1" ht="33" customHeight="1" x14ac:dyDescent="0.3">
      <c r="E559" s="370" t="str">
        <f>'Combustão Estacionária'!D399</f>
        <v>Construção ou fase preparatória</v>
      </c>
      <c r="F559" s="371" t="s">
        <v>37</v>
      </c>
      <c r="G559" s="372" t="s">
        <v>264</v>
      </c>
    </row>
    <row r="560" spans="2:14" x14ac:dyDescent="0.3">
      <c r="B560" s="1063" t="s">
        <v>1487</v>
      </c>
      <c r="C560" s="1064"/>
      <c r="D560" s="1065"/>
      <c r="E560" s="822">
        <f>SUMIF(FACM!$L$21:$L$420,FACM!$B$13,FACM!F$21:F$420)-SUMIF(FACM!$L$121:$L$220,FACM!$B$13,FACM!F$121:F$220)+SUMIF($B$519:$B$551,$E$559,$N$519:$N$551)</f>
        <v>0</v>
      </c>
      <c r="F560" s="822">
        <f>SUMIF(FACM!$L$21:$L$420,FACM!$B$13,FACM!G$21:G$420)-SUMIF(FACM!$L$121:$L$220,FACM!$B$13,FACM!G$121:G$220)+SUMIF($B$519:$B$551,$F$559,$N$519:$N$551)</f>
        <v>0</v>
      </c>
      <c r="G560" s="822">
        <f>SUMIF(FACM!$L$21:$L$420,FACM!$B$13,FACM!H$21:H$420)-SUMIF(FACM!$L$121:$L$220,FACM!$B$13,FACM!H$121:H$220)+SUMIF($B$519:$B$551,$G$559,$N$519:$N$551)</f>
        <v>0</v>
      </c>
      <c r="H560" s="464"/>
    </row>
    <row r="561" spans="2:12" x14ac:dyDescent="0.3">
      <c r="B561" s="1114" t="s">
        <v>926</v>
      </c>
      <c r="C561" s="1114"/>
      <c r="D561" s="1114"/>
      <c r="E561" s="822">
        <f>SUM(FACM!F$121:F$220)</f>
        <v>0</v>
      </c>
      <c r="F561" s="822">
        <f>SUM(FACM!G$121:G$220)</f>
        <v>0</v>
      </c>
      <c r="G561" s="822">
        <f>SUM(FACM!H$121:H$220)</f>
        <v>0</v>
      </c>
      <c r="H561" s="464"/>
    </row>
    <row r="562" spans="2:12" x14ac:dyDescent="0.3">
      <c r="B562" s="1114" t="s">
        <v>1486</v>
      </c>
      <c r="C562" s="1114"/>
      <c r="D562" s="1114"/>
      <c r="E562" s="822">
        <f>SUM(E563:E565)</f>
        <v>0</v>
      </c>
      <c r="F562" s="822">
        <f t="shared" ref="F562:G562" si="33">SUM(F563:F565)</f>
        <v>0</v>
      </c>
      <c r="G562" s="822">
        <f t="shared" si="33"/>
        <v>0</v>
      </c>
      <c r="H562" s="464"/>
    </row>
    <row r="563" spans="2:12" s="248" customFormat="1" x14ac:dyDescent="0.3">
      <c r="B563" s="1115" t="s">
        <v>1101</v>
      </c>
      <c r="C563" s="1115"/>
      <c r="D563" s="1115"/>
      <c r="E563" s="823">
        <f>SUMIF(FACM!$C$21:$C$420,E$559,FACM!$R$21:$R$420)-SUMIF(FACM!$C$121:$C$220,E$559,FACM!$R$121:$R$220)</f>
        <v>0</v>
      </c>
      <c r="F563" s="823">
        <f>SUMIF(FACM!$C$21:$C$420,F$559,FACM!$R$21:$R$420)-SUMIF(FACM!$C$121:$C$220,F$559,FACM!$R$121:$R$220)</f>
        <v>0</v>
      </c>
      <c r="G563" s="823">
        <f>SUMIF(FACM!$C$21:$C$420,G$559,FACM!$R$21:$R$420)-SUMIF(FACM!$C$121:$C$220,G$559,FACM!$R$121:$R$220)</f>
        <v>0</v>
      </c>
      <c r="H563" s="465"/>
    </row>
    <row r="564" spans="2:12" s="248" customFormat="1" x14ac:dyDescent="0.3">
      <c r="B564" s="1115" t="s">
        <v>1102</v>
      </c>
      <c r="C564" s="1115"/>
      <c r="D564" s="1115"/>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15" t="s">
        <v>1103</v>
      </c>
      <c r="C565" s="1115"/>
      <c r="D565" s="1115"/>
      <c r="E565" s="823">
        <f>SUMIF(FACM!$C$21:$C$420,E$559,FACM!$S$21:$S$420)-SUMIF(FACM!$C$121:$C$220,E$559,FACM!$S$121:$S$220)</f>
        <v>0</v>
      </c>
      <c r="F565" s="823">
        <f>SUMIF(FACM!$C$21:$C$420,F$559,FACM!$S$21:$S$420)-SUMIF(FACM!$C$121:$C$220,F$559,FACM!$S$121:$S$220)</f>
        <v>0</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099" t="s">
        <v>1482</v>
      </c>
      <c r="F567" s="1099"/>
      <c r="G567" s="1099"/>
      <c r="H567" s="1099"/>
    </row>
    <row r="568" spans="2:12" s="357" customFormat="1" ht="33" customHeight="1" x14ac:dyDescent="0.3">
      <c r="E568" s="370" t="str">
        <f>E559</f>
        <v>Construção ou fase preparatória</v>
      </c>
      <c r="F568" s="371" t="s">
        <v>37</v>
      </c>
      <c r="G568" s="372" t="s">
        <v>264</v>
      </c>
      <c r="H568" s="468" t="s">
        <v>41</v>
      </c>
      <c r="K568" s="469"/>
      <c r="L568" s="469"/>
    </row>
    <row r="569" spans="2:12" ht="19.2" customHeight="1" x14ac:dyDescent="0.3">
      <c r="B569" s="1063" t="str">
        <f t="shared" ref="B569:B574" si="34">B560</f>
        <v>Emissões da combustão móvel DIRETAS</v>
      </c>
      <c r="C569" s="1064"/>
      <c r="D569" s="1065"/>
      <c r="E569" s="824">
        <f>IF('Dados gerais'!$F$33="", 'Fatores de Emissão'!$E$12*E560, 'Dados gerais'!$F$33*E560)</f>
        <v>0</v>
      </c>
      <c r="F569" s="824">
        <f>IF('Dados gerais'!$F$34="", 'Fatores de Emissão'!$E$13*F560, 'Dados gerais'!$F$34*F560)</f>
        <v>0</v>
      </c>
      <c r="G569" s="824">
        <f>IF('Dados gerais'!$F$35="", 'Fatores de Emissão'!$E$14*G560, 'Dados gerais'!$F$35*G560)</f>
        <v>0</v>
      </c>
      <c r="H569" s="825">
        <f t="shared" ref="H569:H574" si="35">SUM(E569:G569)</f>
        <v>0</v>
      </c>
      <c r="I569" s="171"/>
      <c r="J569" s="171"/>
      <c r="K569" s="171"/>
      <c r="L569" s="171"/>
    </row>
    <row r="570" spans="2:12" ht="23.4" customHeight="1" x14ac:dyDescent="0.3">
      <c r="B570" s="1063" t="str">
        <f t="shared" si="34"/>
        <v xml:space="preserve">Emissões elétricas (indiretas) </v>
      </c>
      <c r="C570" s="1064"/>
      <c r="D570" s="1065"/>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63" t="str">
        <f t="shared" si="34"/>
        <v>Emissões da combustão móvel INDIRETAS</v>
      </c>
      <c r="C571" s="1064"/>
      <c r="D571" s="1065"/>
      <c r="E571" s="824">
        <f>SUM(E572:E574)</f>
        <v>0</v>
      </c>
      <c r="F571" s="824">
        <f t="shared" ref="F571:G571" si="36">SUM(F572:F574)</f>
        <v>0</v>
      </c>
      <c r="G571" s="824">
        <f t="shared" si="36"/>
        <v>0</v>
      </c>
      <c r="H571" s="825">
        <f>SUM(E571:G571)</f>
        <v>0</v>
      </c>
      <c r="I571" s="171"/>
      <c r="J571" s="171"/>
      <c r="K571" s="171"/>
      <c r="L571" s="171"/>
    </row>
    <row r="572" spans="2:12" ht="20.399999999999999" customHeight="1" x14ac:dyDescent="0.3">
      <c r="B572" s="1118" t="str">
        <f t="shared" si="34"/>
        <v xml:space="preserve">       Transporte a montante</v>
      </c>
      <c r="C572" s="1119"/>
      <c r="D572" s="1120"/>
      <c r="E572" s="826">
        <f>IF('Dados gerais'!$F$33="", 'Fatores de Emissão'!$E$12*E563, 'Dados gerais'!$F$33*E563)</f>
        <v>0</v>
      </c>
      <c r="F572" s="826">
        <f>IF('Dados gerais'!$F$34="", 'Fatores de Emissão'!$E$13*F563, 'Dados gerais'!$F$34*F563)</f>
        <v>0</v>
      </c>
      <c r="G572" s="826">
        <f>IF('Dados gerais'!$F$35="", 'Fatores de Emissão'!$E$14*G563, 'Dados gerais'!$F$34*G563)</f>
        <v>0</v>
      </c>
      <c r="H572" s="827">
        <f t="shared" si="35"/>
        <v>0</v>
      </c>
      <c r="I572" s="171"/>
      <c r="J572" s="171"/>
      <c r="K572" s="171"/>
      <c r="L572" s="171"/>
    </row>
    <row r="573" spans="2:12" x14ac:dyDescent="0.3">
      <c r="B573" s="1118" t="str">
        <f t="shared" si="34"/>
        <v xml:space="preserve">       Viagens a negócios</v>
      </c>
      <c r="C573" s="1119"/>
      <c r="D573" s="1120"/>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13"/>
      <c r="J573" s="1113"/>
      <c r="K573" s="1113"/>
      <c r="L573" s="171"/>
    </row>
    <row r="574" spans="2:12" x14ac:dyDescent="0.3">
      <c r="B574" s="1118" t="str">
        <f t="shared" si="34"/>
        <v xml:space="preserve">       Transporte a jusante</v>
      </c>
      <c r="C574" s="1119"/>
      <c r="D574" s="1120"/>
      <c r="E574" s="826">
        <f>IF('Dados gerais'!$F$33="", 'Fatores de Emissão'!$E$12*E565, 'Dados gerais'!$F$33*E565)</f>
        <v>0</v>
      </c>
      <c r="F574" s="826">
        <f>IF('Dados gerais'!$F$34="", 'Fatores de Emissão'!$E$13*F565, 'Dados gerais'!$F$34*F565)</f>
        <v>0</v>
      </c>
      <c r="G574" s="826">
        <f>IF('Dados gerais'!$F$35="", 'Fatores de Emissão'!$E$14*G565, 'Dados gerais'!$F$34*G565)</f>
        <v>0</v>
      </c>
      <c r="H574" s="827">
        <f t="shared" si="35"/>
        <v>0</v>
      </c>
      <c r="I574" s="171"/>
      <c r="J574" s="171"/>
      <c r="K574" s="171"/>
      <c r="L574" s="171"/>
    </row>
    <row r="575" spans="2:12" x14ac:dyDescent="0.3">
      <c r="H575" s="588">
        <f>SUM(H569:H571)</f>
        <v>0</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 ref="F47:F49"/>
    <mergeCell ref="B165:B167"/>
    <mergeCell ref="C165:C167"/>
    <mergeCell ref="M47:M49"/>
    <mergeCell ref="D515:D517"/>
    <mergeCell ref="B47:B49"/>
    <mergeCell ref="F515:F517"/>
    <mergeCell ref="L269:M269"/>
    <mergeCell ref="I573:K573"/>
    <mergeCell ref="B560:D560"/>
    <mergeCell ref="B561:D561"/>
    <mergeCell ref="B562:D562"/>
    <mergeCell ref="B563:D563"/>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s>
  <conditionalFormatting sqref="F168:F268 F285:F385 F402:F502">
    <cfRule type="expression" dxfId="82" priority="110">
      <formula>J168&lt;&gt;"kg/p.km"</formula>
    </cfRule>
  </conditionalFormatting>
  <conditionalFormatting sqref="G168:G268 G285:G385 G402:G502">
    <cfRule type="expression" dxfId="81"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Fábio Cardona</cp:lastModifiedBy>
  <dcterms:created xsi:type="dcterms:W3CDTF">2023-04-30T14:56:45Z</dcterms:created>
  <dcterms:modified xsi:type="dcterms:W3CDTF">2025-09-22T08:14:01Z</dcterms:modified>
</cp:coreProperties>
</file>