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95" windowWidth="15600" windowHeight="7875" activeTab="2"/>
  </bookViews>
  <sheets>
    <sheet name="Calculos tinturaria comparativo" sheetId="5" r:id="rId1"/>
    <sheet name="Descrição" sheetId="4" r:id="rId2"/>
    <sheet name="Calculos tinturaria" sheetId="1" r:id="rId3"/>
    <sheet name="Calculos acabamento" sheetId="2" r:id="rId4"/>
  </sheets>
  <calcPr calcId="145621"/>
</workbook>
</file>

<file path=xl/calcChain.xml><?xml version="1.0" encoding="utf-8"?>
<calcChain xmlns="http://schemas.openxmlformats.org/spreadsheetml/2006/main">
  <c r="O88" i="1" l="1"/>
  <c r="M23" i="2"/>
  <c r="L86" i="5" l="1"/>
  <c r="L85" i="5"/>
  <c r="L84" i="5"/>
  <c r="L83" i="5"/>
  <c r="H83" i="5"/>
  <c r="L82" i="5"/>
  <c r="L81" i="5"/>
  <c r="J81" i="5"/>
  <c r="L80" i="5"/>
  <c r="L79" i="5"/>
  <c r="J79" i="5"/>
  <c r="H79" i="5"/>
  <c r="L78" i="5"/>
  <c r="J78" i="5"/>
  <c r="L77" i="5"/>
  <c r="J77" i="5"/>
  <c r="L76" i="5"/>
  <c r="J76" i="5"/>
  <c r="L75" i="5"/>
  <c r="J75" i="5"/>
  <c r="H75" i="5"/>
  <c r="L74" i="5"/>
  <c r="J74" i="5"/>
  <c r="L73" i="5"/>
  <c r="L72" i="5"/>
  <c r="J72" i="5"/>
  <c r="L71" i="5"/>
  <c r="H71" i="5"/>
  <c r="L70" i="5"/>
  <c r="J70" i="5"/>
  <c r="L69" i="5"/>
  <c r="J69" i="5"/>
  <c r="L68" i="5"/>
  <c r="J68" i="5"/>
  <c r="L67" i="5"/>
  <c r="J67" i="5"/>
  <c r="K67" i="5" s="1"/>
  <c r="H67" i="5"/>
  <c r="L66" i="5"/>
  <c r="L65" i="5"/>
  <c r="J65" i="5"/>
  <c r="L64" i="5"/>
  <c r="L63" i="5"/>
  <c r="J63" i="5"/>
  <c r="H63" i="5"/>
  <c r="L62" i="5"/>
  <c r="J62" i="5"/>
  <c r="L61" i="5"/>
  <c r="J61" i="5"/>
  <c r="L60" i="5"/>
  <c r="J60" i="5"/>
  <c r="L59" i="5"/>
  <c r="J59" i="5"/>
  <c r="H59" i="5"/>
  <c r="L58" i="5"/>
  <c r="J58" i="5"/>
  <c r="L57" i="5"/>
  <c r="L56" i="5"/>
  <c r="J56" i="5"/>
  <c r="L55" i="5"/>
  <c r="H55" i="5"/>
  <c r="L54" i="5"/>
  <c r="J54" i="5"/>
  <c r="L53" i="5"/>
  <c r="J53" i="5"/>
  <c r="L52" i="5"/>
  <c r="J52" i="5"/>
  <c r="L51" i="5"/>
  <c r="J51" i="5"/>
  <c r="K51" i="5" s="1"/>
  <c r="H51" i="5"/>
  <c r="L50" i="5"/>
  <c r="L49" i="5"/>
  <c r="J49" i="5"/>
  <c r="L48" i="5"/>
  <c r="L47" i="5"/>
  <c r="J47" i="5"/>
  <c r="H47" i="5"/>
  <c r="L46" i="5"/>
  <c r="J46" i="5"/>
  <c r="L45" i="5"/>
  <c r="J45" i="5"/>
  <c r="L44" i="5"/>
  <c r="J44" i="5"/>
  <c r="L43" i="5"/>
  <c r="J43" i="5"/>
  <c r="H43" i="5"/>
  <c r="L42" i="5"/>
  <c r="J42" i="5"/>
  <c r="L41" i="5"/>
  <c r="L40" i="5"/>
  <c r="J40" i="5"/>
  <c r="L39" i="5"/>
  <c r="H39" i="5"/>
  <c r="L38" i="5"/>
  <c r="J38" i="5"/>
  <c r="L37" i="5"/>
  <c r="J37" i="5"/>
  <c r="L36" i="5"/>
  <c r="J36" i="5"/>
  <c r="L35" i="5"/>
  <c r="J35" i="5"/>
  <c r="K35" i="5" s="1"/>
  <c r="H35" i="5"/>
  <c r="L34" i="5"/>
  <c r="L33" i="5"/>
  <c r="J33" i="5"/>
  <c r="L32" i="5"/>
  <c r="L31" i="5"/>
  <c r="J31" i="5"/>
  <c r="H31" i="5"/>
  <c r="L30" i="5"/>
  <c r="J30" i="5"/>
  <c r="L29" i="5"/>
  <c r="J29" i="5"/>
  <c r="L28" i="5"/>
  <c r="J28" i="5"/>
  <c r="L27" i="5"/>
  <c r="J27" i="5"/>
  <c r="H27" i="5"/>
  <c r="J85" i="5" s="1"/>
  <c r="L25" i="5"/>
  <c r="L24" i="5"/>
  <c r="L23" i="5"/>
  <c r="J23" i="5"/>
  <c r="H23" i="5"/>
  <c r="L22" i="5"/>
  <c r="L21" i="5"/>
  <c r="J21" i="5"/>
  <c r="L20" i="5"/>
  <c r="H20" i="5"/>
  <c r="L19" i="5"/>
  <c r="L18" i="5"/>
  <c r="J18" i="5"/>
  <c r="L17" i="5"/>
  <c r="H17" i="5"/>
  <c r="J19" i="5" s="1"/>
  <c r="L16" i="5"/>
  <c r="J16" i="5"/>
  <c r="L15" i="5"/>
  <c r="J15" i="5"/>
  <c r="L14" i="5"/>
  <c r="J14" i="5"/>
  <c r="K14" i="5" s="1"/>
  <c r="H14" i="5"/>
  <c r="L13" i="5"/>
  <c r="L12" i="5"/>
  <c r="L11" i="5"/>
  <c r="H11" i="5"/>
  <c r="J12" i="5" s="1"/>
  <c r="L10" i="5"/>
  <c r="L9" i="5"/>
  <c r="J9" i="5"/>
  <c r="L8" i="5"/>
  <c r="H8" i="5"/>
  <c r="L7" i="5"/>
  <c r="L6" i="5"/>
  <c r="J6" i="5"/>
  <c r="L5" i="5"/>
  <c r="H5" i="5"/>
  <c r="J7" i="5" s="1"/>
  <c r="M5" i="5" l="1"/>
  <c r="N5" i="5" s="1"/>
  <c r="O5" i="5" s="1"/>
  <c r="J11" i="5"/>
  <c r="J22" i="5"/>
  <c r="J20" i="5"/>
  <c r="J10" i="5"/>
  <c r="J8" i="5"/>
  <c r="K8" i="5" s="1"/>
  <c r="M8" i="5" s="1"/>
  <c r="N8" i="5" s="1"/>
  <c r="O8" i="5" s="1"/>
  <c r="J13" i="5"/>
  <c r="M35" i="5"/>
  <c r="N35" i="5" s="1"/>
  <c r="O35" i="5" s="1"/>
  <c r="M51" i="5"/>
  <c r="N51" i="5" s="1"/>
  <c r="O51" i="5" s="1"/>
  <c r="M67" i="5"/>
  <c r="N67" i="5" s="1"/>
  <c r="O67" i="5" s="1"/>
  <c r="M14" i="5"/>
  <c r="N14" i="5" s="1"/>
  <c r="O14" i="5" s="1"/>
  <c r="J24" i="5"/>
  <c r="K23" i="5" s="1"/>
  <c r="M23" i="5" s="1"/>
  <c r="N23" i="5" s="1"/>
  <c r="O23" i="5" s="1"/>
  <c r="J25" i="5"/>
  <c r="K27" i="5"/>
  <c r="M27" i="5" s="1"/>
  <c r="N27" i="5" s="1"/>
  <c r="O27" i="5" s="1"/>
  <c r="K43" i="5"/>
  <c r="M43" i="5" s="1"/>
  <c r="N43" i="5" s="1"/>
  <c r="O43" i="5" s="1"/>
  <c r="K59" i="5"/>
  <c r="M59" i="5" s="1"/>
  <c r="N59" i="5" s="1"/>
  <c r="O59" i="5" s="1"/>
  <c r="K75" i="5"/>
  <c r="M75" i="5" s="1"/>
  <c r="N75" i="5" s="1"/>
  <c r="O75" i="5" s="1"/>
  <c r="J5" i="5"/>
  <c r="K5" i="5" s="1"/>
  <c r="J17" i="5"/>
  <c r="K17" i="5" s="1"/>
  <c r="M17" i="5" s="1"/>
  <c r="N17" i="5" s="1"/>
  <c r="O17" i="5" s="1"/>
  <c r="J32" i="5"/>
  <c r="J34" i="5"/>
  <c r="K31" i="5" s="1"/>
  <c r="M31" i="5" s="1"/>
  <c r="N31" i="5" s="1"/>
  <c r="O31" i="5" s="1"/>
  <c r="J39" i="5"/>
  <c r="J41" i="5"/>
  <c r="J48" i="5"/>
  <c r="K47" i="5" s="1"/>
  <c r="M47" i="5" s="1"/>
  <c r="N47" i="5" s="1"/>
  <c r="O47" i="5" s="1"/>
  <c r="J50" i="5"/>
  <c r="J55" i="5"/>
  <c r="J57" i="5"/>
  <c r="J64" i="5"/>
  <c r="J66" i="5"/>
  <c r="K63" i="5" s="1"/>
  <c r="M63" i="5" s="1"/>
  <c r="N63" i="5" s="1"/>
  <c r="O63" i="5" s="1"/>
  <c r="J71" i="5"/>
  <c r="J73" i="5"/>
  <c r="J80" i="5"/>
  <c r="K79" i="5" s="1"/>
  <c r="M79" i="5" s="1"/>
  <c r="N79" i="5" s="1"/>
  <c r="O79" i="5" s="1"/>
  <c r="J82" i="5"/>
  <c r="J84" i="5"/>
  <c r="J86" i="5"/>
  <c r="J83" i="5"/>
  <c r="E63" i="4"/>
  <c r="E64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6" i="4"/>
  <c r="E25" i="4"/>
  <c r="E24" i="4"/>
  <c r="E23" i="4"/>
  <c r="E22" i="4"/>
  <c r="E21" i="4"/>
  <c r="E20" i="4"/>
  <c r="E59" i="4" s="1"/>
  <c r="K83" i="5" l="1"/>
  <c r="M83" i="5" s="1"/>
  <c r="N83" i="5" s="1"/>
  <c r="O83" i="5" s="1"/>
  <c r="K20" i="5"/>
  <c r="M20" i="5" s="1"/>
  <c r="N20" i="5" s="1"/>
  <c r="O20" i="5" s="1"/>
  <c r="K71" i="5"/>
  <c r="M71" i="5" s="1"/>
  <c r="N71" i="5" s="1"/>
  <c r="O71" i="5" s="1"/>
  <c r="K55" i="5"/>
  <c r="M55" i="5" s="1"/>
  <c r="N55" i="5" s="1"/>
  <c r="O55" i="5" s="1"/>
  <c r="K39" i="5"/>
  <c r="M39" i="5" s="1"/>
  <c r="N39" i="5" s="1"/>
  <c r="O39" i="5" s="1"/>
  <c r="K11" i="5"/>
  <c r="M11" i="5" s="1"/>
  <c r="N11" i="5" s="1"/>
  <c r="O11" i="5" s="1"/>
  <c r="O87" i="5" s="1"/>
  <c r="J9" i="2"/>
  <c r="J5" i="2"/>
  <c r="K5" i="2" s="1"/>
  <c r="D91" i="4"/>
  <c r="D8" i="2" s="1"/>
  <c r="E8" i="2" s="1"/>
  <c r="L8" i="2" s="1"/>
  <c r="D17" i="2"/>
  <c r="E17" i="2" s="1"/>
  <c r="L17" i="2" s="1"/>
  <c r="D6" i="2"/>
  <c r="E6" i="2" s="1"/>
  <c r="L6" i="2" s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J72" i="1" s="1"/>
  <c r="H23" i="1"/>
  <c r="H20" i="1"/>
  <c r="H17" i="1"/>
  <c r="H14" i="1"/>
  <c r="J14" i="1" s="1"/>
  <c r="H11" i="1"/>
  <c r="H8" i="1"/>
  <c r="H5" i="1"/>
  <c r="J6" i="1" s="1"/>
  <c r="J31" i="1" l="1"/>
  <c r="J54" i="1"/>
  <c r="D9" i="2"/>
  <c r="E9" i="2" s="1"/>
  <c r="L9" i="2" s="1"/>
  <c r="M8" i="2" s="1"/>
  <c r="J57" i="1"/>
  <c r="J33" i="1"/>
  <c r="J65" i="1"/>
  <c r="D11" i="2"/>
  <c r="E11" i="2" s="1"/>
  <c r="L11" i="2" s="1"/>
  <c r="M11" i="2" s="1"/>
  <c r="J41" i="1"/>
  <c r="J77" i="1"/>
  <c r="J5" i="1"/>
  <c r="J36" i="1"/>
  <c r="J68" i="1"/>
  <c r="J44" i="1"/>
  <c r="J79" i="1"/>
  <c r="J46" i="1"/>
  <c r="J86" i="1"/>
  <c r="J62" i="1"/>
  <c r="K9" i="2"/>
  <c r="D12" i="2"/>
  <c r="E12" i="2" s="1"/>
  <c r="L12" i="2" s="1"/>
  <c r="D14" i="2"/>
  <c r="E14" i="2" s="1"/>
  <c r="L14" i="2" s="1"/>
  <c r="D5" i="2"/>
  <c r="E5" i="2" s="1"/>
  <c r="L5" i="2" s="1"/>
  <c r="M5" i="2" s="1"/>
  <c r="D15" i="2"/>
  <c r="E15" i="2" s="1"/>
  <c r="L15" i="2" s="1"/>
  <c r="D18" i="2"/>
  <c r="E18" i="2" s="1"/>
  <c r="L18" i="2" s="1"/>
  <c r="M17" i="2" s="1"/>
  <c r="D20" i="2"/>
  <c r="E20" i="2" s="1"/>
  <c r="L20" i="2" s="1"/>
  <c r="D21" i="2"/>
  <c r="E21" i="2" s="1"/>
  <c r="L21" i="2" s="1"/>
  <c r="J27" i="1"/>
  <c r="J49" i="1"/>
  <c r="J70" i="1"/>
  <c r="J29" i="1"/>
  <c r="J52" i="1"/>
  <c r="J74" i="1"/>
  <c r="J38" i="1"/>
  <c r="J60" i="1"/>
  <c r="J82" i="1"/>
  <c r="J32" i="1"/>
  <c r="J40" i="1"/>
  <c r="J48" i="1"/>
  <c r="J56" i="1"/>
  <c r="J64" i="1"/>
  <c r="J73" i="1"/>
  <c r="J81" i="1"/>
  <c r="J34" i="1"/>
  <c r="J42" i="1"/>
  <c r="J50" i="1"/>
  <c r="J58" i="1"/>
  <c r="J66" i="1"/>
  <c r="J75" i="1"/>
  <c r="J84" i="1"/>
  <c r="J35" i="1"/>
  <c r="J43" i="1"/>
  <c r="J51" i="1"/>
  <c r="J59" i="1"/>
  <c r="J67" i="1"/>
  <c r="J76" i="1"/>
  <c r="J85" i="1"/>
  <c r="J28" i="1"/>
  <c r="J37" i="1"/>
  <c r="J45" i="1"/>
  <c r="J53" i="1"/>
  <c r="J61" i="1"/>
  <c r="J69" i="1"/>
  <c r="J78" i="1"/>
  <c r="J83" i="1"/>
  <c r="J30" i="1"/>
  <c r="J39" i="1"/>
  <c r="J47" i="1"/>
  <c r="J55" i="1"/>
  <c r="J63" i="1"/>
  <c r="J71" i="1"/>
  <c r="J80" i="1"/>
  <c r="E67" i="4"/>
  <c r="E66" i="4"/>
  <c r="K67" i="1" l="1"/>
  <c r="M20" i="2"/>
  <c r="K59" i="1"/>
  <c r="K71" i="1"/>
  <c r="K31" i="1"/>
  <c r="K75" i="1"/>
  <c r="M14" i="2"/>
  <c r="M22" i="2" s="1"/>
  <c r="K63" i="1"/>
  <c r="K79" i="1"/>
  <c r="K43" i="1"/>
  <c r="K51" i="1"/>
  <c r="K47" i="1"/>
  <c r="K27" i="1"/>
  <c r="K39" i="1"/>
  <c r="K35" i="1"/>
  <c r="K55" i="1"/>
  <c r="K83" i="1"/>
  <c r="J10" i="1"/>
  <c r="J9" i="1"/>
  <c r="J8" i="1"/>
  <c r="J23" i="1"/>
  <c r="J20" i="1"/>
  <c r="J17" i="1"/>
  <c r="J11" i="1"/>
  <c r="D89" i="4"/>
  <c r="D87" i="4"/>
  <c r="E65" i="4"/>
  <c r="K8" i="1" l="1"/>
  <c r="D92" i="4"/>
  <c r="D93" i="4" l="1"/>
  <c r="J25" i="1"/>
  <c r="J22" i="1"/>
  <c r="J19" i="1"/>
  <c r="J16" i="1"/>
  <c r="J13" i="1"/>
  <c r="J7" i="1"/>
  <c r="K5" i="1" s="1"/>
  <c r="J24" i="1" l="1"/>
  <c r="J21" i="1"/>
  <c r="J18" i="1"/>
  <c r="J15" i="1"/>
  <c r="J12" i="1"/>
  <c r="K11" i="1" l="1"/>
  <c r="K20" i="1"/>
  <c r="K14" i="1"/>
  <c r="K23" i="1"/>
  <c r="K17" i="1"/>
  <c r="J21" i="2" l="1"/>
  <c r="J18" i="2"/>
  <c r="J15" i="2"/>
  <c r="J12" i="2"/>
  <c r="J20" i="2"/>
  <c r="J17" i="2"/>
  <c r="J14" i="2"/>
  <c r="J11" i="2"/>
  <c r="J8" i="2"/>
  <c r="J6" i="2"/>
  <c r="K21" i="2" l="1"/>
  <c r="K8" i="2"/>
  <c r="K14" i="2"/>
  <c r="K20" i="2"/>
  <c r="K15" i="2"/>
  <c r="K11" i="2"/>
  <c r="K17" i="2"/>
  <c r="K12" i="2"/>
  <c r="K18" i="2"/>
  <c r="E74" i="4" l="1"/>
  <c r="E73" i="4"/>
  <c r="E82" i="4" l="1"/>
  <c r="E83" i="4"/>
  <c r="E70" i="4" l="1"/>
  <c r="D90" i="4" l="1"/>
  <c r="D88" i="4"/>
  <c r="F92" i="4" l="1"/>
  <c r="F93" i="4" s="1"/>
  <c r="L85" i="1" l="1"/>
  <c r="L77" i="1"/>
  <c r="L69" i="1"/>
  <c r="L61" i="1"/>
  <c r="L53" i="1"/>
  <c r="L37" i="1"/>
  <c r="L29" i="1"/>
  <c r="L12" i="1"/>
  <c r="L36" i="1"/>
  <c r="L47" i="1"/>
  <c r="M47" i="1" s="1"/>
  <c r="N47" i="1" s="1"/>
  <c r="O47" i="1" s="1"/>
  <c r="L76" i="1"/>
  <c r="L44" i="1"/>
  <c r="L11" i="1"/>
  <c r="M11" i="1" s="1"/>
  <c r="N11" i="1" s="1"/>
  <c r="L63" i="1"/>
  <c r="M63" i="1" s="1"/>
  <c r="N63" i="1" s="1"/>
  <c r="O63" i="1" s="1"/>
  <c r="L22" i="1"/>
  <c r="L83" i="1"/>
  <c r="M83" i="1" s="1"/>
  <c r="N83" i="1" s="1"/>
  <c r="O83" i="1" s="1"/>
  <c r="L75" i="1"/>
  <c r="M75" i="1" s="1"/>
  <c r="N75" i="1" s="1"/>
  <c r="O75" i="1" s="1"/>
  <c r="L67" i="1"/>
  <c r="M67" i="1" s="1"/>
  <c r="N67" i="1" s="1"/>
  <c r="O67" i="1" s="1"/>
  <c r="L59" i="1"/>
  <c r="M59" i="1" s="1"/>
  <c r="N59" i="1" s="1"/>
  <c r="O59" i="1" s="1"/>
  <c r="L51" i="1"/>
  <c r="M51" i="1" s="1"/>
  <c r="N51" i="1" s="1"/>
  <c r="O51" i="1" s="1"/>
  <c r="L43" i="1"/>
  <c r="M43" i="1" s="1"/>
  <c r="N43" i="1" s="1"/>
  <c r="O43" i="1" s="1"/>
  <c r="L35" i="1"/>
  <c r="M35" i="1" s="1"/>
  <c r="N35" i="1" s="1"/>
  <c r="O35" i="1" s="1"/>
  <c r="L27" i="1"/>
  <c r="M27" i="1" s="1"/>
  <c r="N27" i="1" s="1"/>
  <c r="O27" i="1" s="1"/>
  <c r="L18" i="1"/>
  <c r="L10" i="1"/>
  <c r="L34" i="1"/>
  <c r="L17" i="1"/>
  <c r="M17" i="1" s="1"/>
  <c r="N17" i="1" s="1"/>
  <c r="L9" i="1"/>
  <c r="L8" i="1"/>
  <c r="M8" i="1" s="1"/>
  <c r="N8" i="1" s="1"/>
  <c r="O8" i="1" s="1"/>
  <c r="L80" i="1"/>
  <c r="L64" i="1"/>
  <c r="L56" i="1"/>
  <c r="L23" i="1"/>
  <c r="M23" i="1" s="1"/>
  <c r="N23" i="1" s="1"/>
  <c r="L7" i="1"/>
  <c r="L39" i="1"/>
  <c r="M39" i="1" s="1"/>
  <c r="N39" i="1" s="1"/>
  <c r="O39" i="1" s="1"/>
  <c r="L82" i="1"/>
  <c r="L74" i="1"/>
  <c r="L66" i="1"/>
  <c r="L58" i="1"/>
  <c r="L50" i="1"/>
  <c r="L42" i="1"/>
  <c r="L25" i="1"/>
  <c r="L40" i="1"/>
  <c r="L31" i="1"/>
  <c r="M31" i="1" s="1"/>
  <c r="N31" i="1" s="1"/>
  <c r="O31" i="1" s="1"/>
  <c r="L81" i="1"/>
  <c r="L73" i="1"/>
  <c r="L65" i="1"/>
  <c r="L57" i="1"/>
  <c r="L49" i="1"/>
  <c r="L41" i="1"/>
  <c r="L33" i="1"/>
  <c r="L24" i="1"/>
  <c r="L16" i="1"/>
  <c r="L48" i="1"/>
  <c r="L15" i="1"/>
  <c r="L79" i="1"/>
  <c r="M79" i="1" s="1"/>
  <c r="N79" i="1" s="1"/>
  <c r="O79" i="1" s="1"/>
  <c r="L72" i="1"/>
  <c r="L32" i="1"/>
  <c r="L71" i="1"/>
  <c r="M71" i="1" s="1"/>
  <c r="N71" i="1" s="1"/>
  <c r="O71" i="1" s="1"/>
  <c r="L6" i="1"/>
  <c r="L86" i="1"/>
  <c r="L78" i="1"/>
  <c r="L70" i="1"/>
  <c r="L62" i="1"/>
  <c r="L54" i="1"/>
  <c r="L46" i="1"/>
  <c r="L38" i="1"/>
  <c r="L30" i="1"/>
  <c r="L21" i="1"/>
  <c r="L13" i="1"/>
  <c r="L5" i="1"/>
  <c r="M5" i="1" s="1"/>
  <c r="N5" i="1" s="1"/>
  <c r="L45" i="1"/>
  <c r="L20" i="1"/>
  <c r="M20" i="1" s="1"/>
  <c r="N20" i="1" s="1"/>
  <c r="L84" i="1"/>
  <c r="L68" i="1"/>
  <c r="L60" i="1"/>
  <c r="L52" i="1"/>
  <c r="L28" i="1"/>
  <c r="L19" i="1"/>
  <c r="L55" i="1"/>
  <c r="M55" i="1" s="1"/>
  <c r="N55" i="1" s="1"/>
  <c r="O55" i="1" s="1"/>
  <c r="L14" i="1"/>
  <c r="M14" i="1" s="1"/>
  <c r="N14" i="1" s="1"/>
  <c r="E68" i="4"/>
  <c r="E69" i="4" s="1"/>
  <c r="E80" i="4" l="1"/>
  <c r="E81" i="4"/>
  <c r="E71" i="4"/>
  <c r="E75" i="4" s="1"/>
  <c r="E72" i="4"/>
  <c r="E76" i="4"/>
  <c r="E77" i="4"/>
  <c r="E78" i="4"/>
  <c r="E79" i="4"/>
  <c r="E84" i="4"/>
  <c r="K6" i="2"/>
  <c r="O17" i="1" l="1"/>
  <c r="O14" i="1"/>
  <c r="O20" i="1"/>
  <c r="O11" i="1"/>
  <c r="O23" i="1"/>
  <c r="O5" i="1"/>
  <c r="O87" i="1" s="1"/>
</calcChain>
</file>

<file path=xl/sharedStrings.xml><?xml version="1.0" encoding="utf-8"?>
<sst xmlns="http://schemas.openxmlformats.org/spreadsheetml/2006/main" count="394" uniqueCount="157">
  <si>
    <t>Máquina</t>
  </si>
  <si>
    <t>Tipo de tingimento</t>
  </si>
  <si>
    <t>Tempo de carga e descarga</t>
  </si>
  <si>
    <t>Tempo total do processo</t>
  </si>
  <si>
    <t>Tempo útil de produção em 24 horas</t>
  </si>
  <si>
    <t>Produção em 24 horas úteis</t>
  </si>
  <si>
    <t>11.</t>
  </si>
  <si>
    <t>Cálculos acabamento</t>
  </si>
  <si>
    <t>Tempo médio de paragem para a manutenção e limpeza</t>
  </si>
  <si>
    <t>kg/h</t>
  </si>
  <si>
    <t>kg/min</t>
  </si>
  <si>
    <t>Duração, por partida (partes da hora)</t>
  </si>
  <si>
    <t>Manutenção média diária de máquinas de tintutaria</t>
  </si>
  <si>
    <t>Total</t>
  </si>
  <si>
    <t>Tempo útil de produção em 24 H</t>
  </si>
  <si>
    <t>Produção total diária por máquina</t>
  </si>
  <si>
    <t>Branco</t>
  </si>
  <si>
    <t>JET 1</t>
  </si>
  <si>
    <t>JET 2</t>
  </si>
  <si>
    <t>JET 3</t>
  </si>
  <si>
    <t>JET 4</t>
  </si>
  <si>
    <t>JET 5</t>
  </si>
  <si>
    <t>JET 6</t>
  </si>
  <si>
    <t>JET 7</t>
  </si>
  <si>
    <t>JET 12</t>
  </si>
  <si>
    <t>JET 13</t>
  </si>
  <si>
    <t>JET 14</t>
  </si>
  <si>
    <t>JET 15</t>
  </si>
  <si>
    <t>JET 16</t>
  </si>
  <si>
    <t>JET 17</t>
  </si>
  <si>
    <t>JET 18</t>
  </si>
  <si>
    <t>JET 20</t>
  </si>
  <si>
    <t>JET 21</t>
  </si>
  <si>
    <t>JET 23</t>
  </si>
  <si>
    <t>JET 27</t>
  </si>
  <si>
    <t>1. Separação da malha e preparação da carga</t>
  </si>
  <si>
    <t xml:space="preserve">3. Carregamento no JET. </t>
  </si>
  <si>
    <t>6. Acababentos (máquina de abrir, râmola, secadeira, espremedeira, calandra, sanfor, lâmina, tumbler, cardas, carbono)</t>
  </si>
  <si>
    <t xml:space="preserve">7. Controlo da qualidade </t>
  </si>
  <si>
    <t>8. Embalagem e expedição</t>
  </si>
  <si>
    <t>variável</t>
  </si>
  <si>
    <t>JET 32</t>
  </si>
  <si>
    <t>JET 33</t>
  </si>
  <si>
    <t>JET 35</t>
  </si>
  <si>
    <t>JET 36</t>
  </si>
  <si>
    <t>Limpeza e lavagem ds máquinas de tinturaria, médio, díário</t>
  </si>
  <si>
    <t xml:space="preserve">Limpeza de râmolas, média, diário, </t>
  </si>
  <si>
    <t>1 Espremedeira;</t>
  </si>
  <si>
    <t xml:space="preserve">1 Secadeira; </t>
  </si>
  <si>
    <t xml:space="preserve">1 Calandra; </t>
  </si>
  <si>
    <t xml:space="preserve">1 Sanfor; </t>
  </si>
  <si>
    <t xml:space="preserve">1 Lâmina; </t>
  </si>
  <si>
    <t xml:space="preserve">1 Tumbler; </t>
  </si>
  <si>
    <t>1 Carbono.</t>
  </si>
  <si>
    <t>MA1</t>
  </si>
  <si>
    <t>MA2</t>
  </si>
  <si>
    <t>MA3</t>
  </si>
  <si>
    <t>MA4</t>
  </si>
  <si>
    <t>Capacidade máxima
(kg/h)</t>
  </si>
  <si>
    <t>MA5</t>
  </si>
  <si>
    <t>Cores</t>
  </si>
  <si>
    <t>Tipo de malha ou gramagem</t>
  </si>
  <si>
    <t>Determinação da capacidade instalada das atividades 
incluidas na categoria 6.2 do Anexo I do Diploma PCIP</t>
  </si>
  <si>
    <t>Tempo de processo sem remontas  
(hora)</t>
  </si>
  <si>
    <t>meio branco</t>
  </si>
  <si>
    <t>desencolagem</t>
  </si>
  <si>
    <t>Em reactivos uma fibra</t>
  </si>
  <si>
    <t>reativo duas fibras</t>
  </si>
  <si>
    <t>Râmula 2</t>
  </si>
  <si>
    <r>
      <t>TOTAL (hipotético)</t>
    </r>
    <r>
      <rPr>
        <sz val="10"/>
        <color theme="1"/>
        <rFont val="Calibri"/>
        <family val="2"/>
        <scheme val="minor"/>
      </rPr>
      <t xml:space="preserve"> (kg/dia)</t>
    </r>
  </si>
  <si>
    <t>Duração diária (partes da hora)
em 1 Jet  24 horas</t>
  </si>
  <si>
    <t>Duração
(tempo gasto)</t>
  </si>
  <si>
    <t xml:space="preserve">4. Lavagem / branqueamento / tingimento / tratamento / amaciamento . </t>
  </si>
  <si>
    <t xml:space="preserve">5. Descarregamento da máquina de tinturaria. </t>
  </si>
  <si>
    <t>Branco + Meio branco + Desencolagem</t>
  </si>
  <si>
    <t>JET 19 - amostras</t>
  </si>
  <si>
    <t>JET 22 - amostras</t>
  </si>
  <si>
    <t>JET 24 - amostras</t>
  </si>
  <si>
    <t>JET 25 - amostras</t>
  </si>
  <si>
    <t>JET 26 - amostras</t>
  </si>
  <si>
    <t>JET 28 - amostras</t>
  </si>
  <si>
    <t>JET 29 - amostras</t>
  </si>
  <si>
    <t xml:space="preserve">JET 27 </t>
  </si>
  <si>
    <t>JET 30 - amostras</t>
  </si>
  <si>
    <t>JET 31 - amostras</t>
  </si>
  <si>
    <t>JET 34 - amostras</t>
  </si>
  <si>
    <t>JET 37 - amostras</t>
  </si>
  <si>
    <t>JET 11 - amostras</t>
  </si>
  <si>
    <t>JET 8 - amostras</t>
  </si>
  <si>
    <t>JET 9 - amostras</t>
  </si>
  <si>
    <t>JET 10 - amostras</t>
  </si>
  <si>
    <t>Justificação de tempos</t>
  </si>
  <si>
    <r>
      <t xml:space="preserve">Tempo de lavagem e </t>
    </r>
    <r>
      <rPr>
        <sz val="8"/>
        <color theme="1"/>
        <rFont val="Calibri"/>
        <family val="2"/>
        <scheme val="minor"/>
      </rPr>
      <t>(mudança dos filtros efetuada enquanto o JET trabalha)</t>
    </r>
  </si>
  <si>
    <t>Unidade industrial dedicada à tinturaria e acabamento de artigos de malha.
A unidade presta serviços de branqueamento, tingimento e acabamento de malhas de todos os tipos de fibra.
Essa malha é tingida e/ou acabada na sua unidade de tinturaria e acabamento.</t>
  </si>
  <si>
    <t>3h por jet por mês</t>
  </si>
  <si>
    <r>
      <t xml:space="preserve">Cores 
</t>
    </r>
    <r>
      <rPr>
        <sz val="10"/>
        <color theme="1"/>
        <rFont val="Calibri"/>
        <family val="2"/>
        <scheme val="minor"/>
      </rPr>
      <t>(no máximo é produzido 2 partidas por dia em cada Jet)</t>
    </r>
  </si>
  <si>
    <t>1 Cardas;</t>
  </si>
  <si>
    <t>Râmula 3</t>
  </si>
  <si>
    <t>Râmula 4</t>
  </si>
  <si>
    <t>Râmula 5</t>
  </si>
  <si>
    <t>Râmula 6</t>
  </si>
  <si>
    <t>Râmula 7</t>
  </si>
  <si>
    <t>Acabamentos</t>
  </si>
  <si>
    <t>1/2b./ branco/ desenc.</t>
  </si>
  <si>
    <t xml:space="preserve">100% poliester </t>
  </si>
  <si>
    <t>1/2 brancos; brancos; desencolados</t>
  </si>
  <si>
    <t>uma lavagem de 1 h por semana  (4h/30dias) (15 min antes do fim do turno para todos os jets. Limpeza superficial)</t>
  </si>
  <si>
    <t>uma lavagens de 2 h por semana  (8h/30dias) (15 min antes do fim do turno para todos os jets. Limpeza superficial)</t>
  </si>
  <si>
    <t>Cap. max. no tipo de produto (tipo de malha)
kg</t>
  </si>
  <si>
    <t>Media tempo</t>
  </si>
  <si>
    <r>
      <t xml:space="preserve">Capacidade  máxima por partida
(kg)
</t>
    </r>
    <r>
      <rPr>
        <sz val="8"/>
        <color theme="1"/>
        <rFont val="Calibri"/>
        <family val="2"/>
        <scheme val="minor"/>
      </rPr>
      <t>[informação técnica da máquina]</t>
    </r>
  </si>
  <si>
    <t>2. Prepararação da malha (desenrolar e fechar malha)</t>
  </si>
  <si>
    <t xml:space="preserve">  variável</t>
  </si>
  <si>
    <t>Tempo médio de paragens para adaptação da râmula entre partidas (10min/60min)</t>
  </si>
  <si>
    <t>Tempo útil de produção em 24 horas (24-tempos das paragens)</t>
  </si>
  <si>
    <t>Pesado, Pre fixado</t>
  </si>
  <si>
    <t>Leve, Pre fixado</t>
  </si>
  <si>
    <t>Pesado, Amaciado e acabado</t>
  </si>
  <si>
    <t>Leve, Amaciado e acabado</t>
  </si>
  <si>
    <t>Produção em 24 horas úteis TOTAL por máquina</t>
  </si>
  <si>
    <r>
      <t xml:space="preserve">A secção de </t>
    </r>
    <r>
      <rPr>
        <b/>
        <sz val="11"/>
        <rFont val="Calibri"/>
        <family val="2"/>
        <scheme val="minor"/>
      </rPr>
      <t>preparação</t>
    </r>
    <r>
      <rPr>
        <sz val="11"/>
        <rFont val="Calibri"/>
        <family val="2"/>
        <scheme val="minor"/>
      </rPr>
      <t xml:space="preserve"> é constituida por : 
4 máquinas de desenrolar(MD1, MD2, MD3, MD4); 
2 máquinas de fechas (MF1, MF2); 
1 máquina de virar malha.
A secção de </t>
    </r>
    <r>
      <rPr>
        <b/>
        <sz val="11"/>
        <rFont val="Calibri"/>
        <family val="2"/>
        <scheme val="minor"/>
      </rPr>
      <t>tinturaria</t>
    </r>
    <r>
      <rPr>
        <sz val="11"/>
        <rFont val="Calibri"/>
        <family val="2"/>
        <scheme val="minor"/>
      </rPr>
      <t xml:space="preserve"> é composta por:
15 JET (JET n.º  8, 31, 9, 10, 11, 19, 22, 24, 25, 26, 28,  29, 30, 34, 37) de amostras para todo o tipo de malha.
7 JET (Jet n.º 1, 2, 5, 23, 12, 18 e 20) para meia branquiação, branqueamento e desencolagem, para todo o tipo de malha.
15 JETs (JET n.º 3, 7, 4, 16, 17, 33, 36, 6, 13, 14, 15, 21, 27, 32 e 35) para cores e todo o tipo de malha.
2 máquinas (Pentek e MCS) para preparar todo o tipo de malhas;
A secção de </t>
    </r>
    <r>
      <rPr>
        <b/>
        <sz val="11"/>
        <rFont val="Calibri"/>
        <family val="2"/>
        <scheme val="minor"/>
      </rPr>
      <t>acabamento</t>
    </r>
    <r>
      <rPr>
        <sz val="11"/>
        <rFont val="Calibri"/>
        <family val="2"/>
        <scheme val="minor"/>
      </rPr>
      <t xml:space="preserve"> é constituida por:  
1 Râmola (R1) [para amostras] 
6 Râmolas para secar, amaciar e acabar todo o tipo de malha (R2, R3, R4, R5, R6, R7);
5 máquinas de abrir (MA1, MA2, MA3, MA4, MA5); 
1 Espremedeira;
1 Secadeira; 
1 Calandra; 
1 Sanfor; 
1 Lâmina; 
1 Tumbler; 
2 Cardas;
1 Carbono.</t>
    </r>
  </si>
  <si>
    <t>TINTURARIA</t>
  </si>
  <si>
    <t>ACABAMENTOS</t>
  </si>
  <si>
    <t>1 râmola: (6+6 h por mês) + 0,25 h diários</t>
  </si>
  <si>
    <r>
      <t xml:space="preserve">Quantidade </t>
    </r>
    <r>
      <rPr>
        <u/>
        <sz val="11"/>
        <color theme="1"/>
        <rFont val="Calibri"/>
        <family val="2"/>
        <scheme val="minor"/>
      </rPr>
      <t>máxima</t>
    </r>
    <r>
      <rPr>
        <sz val="11"/>
        <color theme="1"/>
        <rFont val="Calibri"/>
        <family val="2"/>
        <scheme val="minor"/>
      </rPr>
      <t xml:space="preserve"> por dia (kg)
</t>
    </r>
    <r>
      <rPr>
        <sz val="8"/>
        <color theme="1"/>
        <rFont val="Calibri"/>
        <family val="2"/>
        <scheme val="minor"/>
      </rPr>
      <t>[4 partidas de branco; 
2 partidas em cores a 1 fibra; 
1 partidas em cores 2 fibras]</t>
    </r>
  </si>
  <si>
    <t>5. Capacidade máxima de utilização das máquinas de branqueamento e tingimento por tipo de produto, com exclusão das máquinas destinadas ao fabrico de amostras ou protótipos</t>
  </si>
  <si>
    <t>Rámula 2</t>
  </si>
  <si>
    <t>Rámula 3</t>
  </si>
  <si>
    <t>Rámula 4</t>
  </si>
  <si>
    <t>Rámula 5</t>
  </si>
  <si>
    <t>Rámula 6</t>
  </si>
  <si>
    <t>Rámula 7</t>
  </si>
  <si>
    <t>TOTAL</t>
  </si>
  <si>
    <r>
      <rPr>
        <b/>
        <sz val="10"/>
        <color theme="1"/>
        <rFont val="Calibri"/>
        <family val="2"/>
        <scheme val="minor"/>
      </rPr>
      <t xml:space="preserve">4.  </t>
    </r>
    <r>
      <rPr>
        <u/>
        <sz val="10"/>
        <color theme="1"/>
        <rFont val="Calibri"/>
        <family val="2"/>
        <scheme val="minor"/>
      </rPr>
      <t>% no tipo (% dentro do tipo de malha com este tipo de tingimento)</t>
    </r>
  </si>
  <si>
    <r>
      <rPr>
        <b/>
        <sz val="10"/>
        <color theme="1"/>
        <rFont val="Calibri"/>
        <family val="2"/>
        <scheme val="minor"/>
      </rPr>
      <t xml:space="preserve">6. </t>
    </r>
    <r>
      <rPr>
        <u/>
        <sz val="10"/>
        <color theme="1"/>
        <rFont val="Calibri"/>
        <family val="2"/>
        <scheme val="minor"/>
      </rPr>
      <t>Tempo adicional devido a remontas</t>
    </r>
  </si>
  <si>
    <r>
      <t xml:space="preserve">10. </t>
    </r>
    <r>
      <rPr>
        <u/>
        <sz val="11"/>
        <color theme="1"/>
        <rFont val="Calibri"/>
        <family val="2"/>
        <scheme val="minor"/>
      </rPr>
      <t>Cálculos Tinturaria</t>
    </r>
  </si>
  <si>
    <r>
      <rPr>
        <b/>
        <sz val="10"/>
        <color theme="1"/>
        <rFont val="Calibri"/>
        <family val="2"/>
        <scheme val="minor"/>
      </rPr>
      <t>7.</t>
    </r>
    <r>
      <rPr>
        <b/>
        <u/>
        <sz val="10"/>
        <color theme="1"/>
        <rFont val="Calibri"/>
        <family val="2"/>
        <scheme val="minor"/>
      </rPr>
      <t xml:space="preserve"> </t>
    </r>
    <r>
      <rPr>
        <u/>
        <sz val="10"/>
        <color theme="1"/>
        <rFont val="Calibri"/>
        <family val="2"/>
        <scheme val="minor"/>
      </rPr>
      <t>% do tipo</t>
    </r>
  </si>
  <si>
    <r>
      <rPr>
        <b/>
        <sz val="10"/>
        <color theme="1"/>
        <rFont val="Calibri"/>
        <family val="2"/>
        <scheme val="minor"/>
      </rPr>
      <t xml:space="preserve">8. </t>
    </r>
    <r>
      <rPr>
        <u/>
        <sz val="10"/>
        <color theme="1"/>
        <rFont val="Calibri"/>
        <family val="2"/>
        <scheme val="minor"/>
      </rPr>
      <t>Velocidade no tipo de produto em m/min</t>
    </r>
  </si>
  <si>
    <r>
      <rPr>
        <b/>
        <sz val="10"/>
        <color theme="1"/>
        <rFont val="Calibri"/>
        <family val="2"/>
        <scheme val="minor"/>
      </rPr>
      <t xml:space="preserve">7. </t>
    </r>
    <r>
      <rPr>
        <u/>
        <sz val="10"/>
        <color theme="1"/>
        <rFont val="Calibri"/>
        <family val="2"/>
        <scheme val="minor"/>
      </rPr>
      <t>Peso por m2 do artigo em gramas (g/m2)</t>
    </r>
  </si>
  <si>
    <r>
      <rPr>
        <b/>
        <sz val="10"/>
        <color theme="1"/>
        <rFont val="Calibri"/>
        <family val="2"/>
        <scheme val="minor"/>
      </rPr>
      <t xml:space="preserve">7. </t>
    </r>
    <r>
      <rPr>
        <u/>
        <sz val="10"/>
        <color theme="1"/>
        <rFont val="Calibri"/>
        <family val="2"/>
        <scheme val="minor"/>
      </rPr>
      <t>Largura do artigo em metros (m)</t>
    </r>
  </si>
  <si>
    <r>
      <rPr>
        <b/>
        <sz val="11"/>
        <color theme="1"/>
        <rFont val="Calibri"/>
        <family val="2"/>
        <scheme val="minor"/>
      </rPr>
      <t xml:space="preserve">9. </t>
    </r>
    <r>
      <rPr>
        <u/>
        <sz val="11"/>
        <color theme="1"/>
        <rFont val="Calibri"/>
        <family val="2"/>
        <scheme val="minor"/>
      </rPr>
      <t>Períodos de limpeza das máquinas e manutenção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</si>
  <si>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Capacidade das outras máquinas do processo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</si>
  <si>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u/>
        <sz val="11"/>
        <color theme="1"/>
        <rFont val="Calibri"/>
        <family val="2"/>
        <scheme val="minor"/>
      </rPr>
      <t>Descrição das secções de tinturaria e acabamento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</si>
  <si>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u/>
        <sz val="11"/>
        <color theme="1"/>
        <rFont val="Calibri"/>
        <family val="2"/>
        <scheme val="minor"/>
      </rPr>
      <t>Descrição do fluxo do processo de fabrico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</si>
  <si>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u/>
        <sz val="11"/>
        <color theme="1"/>
        <rFont val="Calibri"/>
        <family val="2"/>
        <scheme val="minor"/>
      </rPr>
      <t>Descrição da actividade da empresa</t>
    </r>
  </si>
  <si>
    <t>Pontos 6. 7. e 8. encontram-se nas colunas das tabelas anexas.</t>
  </si>
  <si>
    <r>
      <t>12.</t>
    </r>
    <r>
      <rPr>
        <u/>
        <sz val="11"/>
        <color theme="1"/>
        <rFont val="Calibri"/>
        <family val="2"/>
        <scheme val="minor"/>
      </rPr>
      <t xml:space="preserve"> Limitações impostas pela capacidade de secagem e acabamento</t>
    </r>
  </si>
  <si>
    <r>
      <t xml:space="preserve">12. </t>
    </r>
    <r>
      <rPr>
        <u/>
        <sz val="11"/>
        <color theme="1"/>
        <rFont val="Calibri"/>
        <family val="2"/>
        <scheme val="minor"/>
      </rPr>
      <t>Conclusão</t>
    </r>
  </si>
  <si>
    <t>Verifica-se que a capacidade instalada de tinturaria é superior a 10 ton/dia.</t>
  </si>
  <si>
    <t>Não existem constrangimentos ao acabamento da produçao de tinturaria, capacidade de ramolagem superior a 10 ton/dia</t>
  </si>
  <si>
    <t>É uma instalação PCIP.</t>
  </si>
  <si>
    <t>nº partidas por dia no tempo útil</t>
  </si>
  <si>
    <t>TOTAL Acabamentos</t>
  </si>
  <si>
    <t>TOTAL Tinturaria</t>
  </si>
  <si>
    <r>
      <t xml:space="preserve">Branco + Meio branco + Desencolagem 
</t>
    </r>
    <r>
      <rPr>
        <sz val="10"/>
        <color theme="1"/>
        <rFont val="Calibri"/>
        <family val="2"/>
        <scheme val="minor"/>
      </rPr>
      <t xml:space="preserve"> (no máximo é produzido 4 partidas por dia em cada Jet)</t>
    </r>
  </si>
  <si>
    <t>Capacidade máxima diária</t>
  </si>
  <si>
    <t>calculo Kg/ano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</si>
</sst>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0A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7" borderId="11" xfId="0" applyFont="1" applyFill="1" applyBorder="1"/>
    <xf numFmtId="9" fontId="1" fillId="7" borderId="11" xfId="0" applyNumberFormat="1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0" fontId="1" fillId="7" borderId="13" xfId="0" applyFont="1" applyFill="1" applyBorder="1"/>
    <xf numFmtId="9" fontId="1" fillId="7" borderId="13" xfId="0" applyNumberFormat="1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9" fontId="1" fillId="7" borderId="15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0" xfId="0" applyFill="1"/>
    <xf numFmtId="0" fontId="1" fillId="7" borderId="16" xfId="0" applyFont="1" applyFill="1" applyBorder="1"/>
    <xf numFmtId="0" fontId="1" fillId="7" borderId="16" xfId="0" applyFont="1" applyFill="1" applyBorder="1" applyAlignment="1">
      <alignment horizontal="center" vertical="center"/>
    </xf>
    <xf numFmtId="2" fontId="1" fillId="7" borderId="16" xfId="0" applyNumberFormat="1" applyFont="1" applyFill="1" applyBorder="1" applyAlignment="1">
      <alignment horizontal="center" vertical="center"/>
    </xf>
    <xf numFmtId="9" fontId="1" fillId="7" borderId="17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0" fontId="1" fillId="0" borderId="4" xfId="1" applyNumberFormat="1" applyFont="1" applyBorder="1" applyAlignment="1">
      <alignment horizontal="center" vertical="center" wrapText="1"/>
    </xf>
    <xf numFmtId="0" fontId="0" fillId="0" borderId="0" xfId="0" applyFont="1"/>
    <xf numFmtId="0" fontId="0" fillId="2" borderId="1" xfId="0" applyFill="1" applyBorder="1" applyAlignment="1">
      <alignment horizontal="center" vertical="center" wrapText="1"/>
    </xf>
    <xf numFmtId="2" fontId="1" fillId="7" borderId="13" xfId="0" applyNumberFormat="1" applyFont="1" applyFill="1" applyBorder="1" applyAlignment="1">
      <alignment horizontal="center" vertical="center"/>
    </xf>
    <xf numFmtId="2" fontId="1" fillId="7" borderId="15" xfId="0" applyNumberFormat="1" applyFont="1" applyFill="1" applyBorder="1" applyAlignment="1">
      <alignment horizontal="center" vertical="center"/>
    </xf>
    <xf numFmtId="2" fontId="1" fillId="7" borderId="1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1" fillId="6" borderId="15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2" fontId="1" fillId="7" borderId="17" xfId="0" applyNumberFormat="1" applyFont="1" applyFill="1" applyBorder="1" applyAlignment="1">
      <alignment horizontal="center" vertical="center"/>
    </xf>
    <xf numFmtId="2" fontId="1" fillId="7" borderId="38" xfId="0" applyNumberFormat="1" applyFont="1" applyFill="1" applyBorder="1" applyAlignment="1">
      <alignment horizontal="center" vertical="center"/>
    </xf>
    <xf numFmtId="2" fontId="1" fillId="7" borderId="15" xfId="0" applyNumberFormat="1" applyFont="1" applyFill="1" applyBorder="1" applyAlignment="1">
      <alignment horizontal="center"/>
    </xf>
    <xf numFmtId="0" fontId="1" fillId="7" borderId="38" xfId="0" applyFont="1" applyFill="1" applyBorder="1"/>
    <xf numFmtId="0" fontId="1" fillId="7" borderId="38" xfId="0" applyFont="1" applyFill="1" applyBorder="1" applyAlignment="1">
      <alignment horizontal="center" vertical="center"/>
    </xf>
    <xf numFmtId="2" fontId="1" fillId="7" borderId="38" xfId="0" applyNumberFormat="1" applyFont="1" applyFill="1" applyBorder="1" applyAlignment="1">
      <alignment horizontal="center"/>
    </xf>
    <xf numFmtId="9" fontId="1" fillId="7" borderId="16" xfId="0" applyNumberFormat="1" applyFont="1" applyFill="1" applyBorder="1" applyAlignment="1">
      <alignment horizontal="center" vertical="center"/>
    </xf>
    <xf numFmtId="0" fontId="1" fillId="7" borderId="15" xfId="0" applyFont="1" applyFill="1" applyBorder="1"/>
    <xf numFmtId="0" fontId="1" fillId="7" borderId="17" xfId="0" applyFont="1" applyFill="1" applyBorder="1"/>
    <xf numFmtId="2" fontId="1" fillId="7" borderId="17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7" borderId="25" xfId="0" applyFill="1" applyBorder="1" applyAlignment="1">
      <alignment horizontal="center" vertical="center"/>
    </xf>
    <xf numFmtId="0" fontId="1" fillId="8" borderId="13" xfId="0" applyFont="1" applyFill="1" applyBorder="1"/>
    <xf numFmtId="9" fontId="1" fillId="8" borderId="13" xfId="0" applyNumberFormat="1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2" fontId="1" fillId="8" borderId="13" xfId="0" applyNumberFormat="1" applyFont="1" applyFill="1" applyBorder="1" applyAlignment="1">
      <alignment horizontal="center" vertical="center"/>
    </xf>
    <xf numFmtId="2" fontId="1" fillId="8" borderId="13" xfId="0" applyNumberFormat="1" applyFont="1" applyFill="1" applyBorder="1" applyAlignment="1">
      <alignment horizontal="center"/>
    </xf>
    <xf numFmtId="0" fontId="1" fillId="8" borderId="22" xfId="0" applyFont="1" applyFill="1" applyBorder="1"/>
    <xf numFmtId="9" fontId="1" fillId="8" borderId="22" xfId="0" applyNumberFormat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2" fontId="1" fillId="8" borderId="22" xfId="0" applyNumberFormat="1" applyFont="1" applyFill="1" applyBorder="1" applyAlignment="1">
      <alignment horizontal="center" vertical="center"/>
    </xf>
    <xf numFmtId="2" fontId="1" fillId="8" borderId="38" xfId="0" applyNumberFormat="1" applyFont="1" applyFill="1" applyBorder="1" applyAlignment="1">
      <alignment horizontal="center" vertical="center"/>
    </xf>
    <xf numFmtId="0" fontId="1" fillId="8" borderId="38" xfId="0" applyFont="1" applyFill="1" applyBorder="1"/>
    <xf numFmtId="9" fontId="1" fillId="8" borderId="38" xfId="0" applyNumberFormat="1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2" fontId="1" fillId="8" borderId="38" xfId="0" applyNumberFormat="1" applyFont="1" applyFill="1" applyBorder="1" applyAlignment="1">
      <alignment horizontal="center"/>
    </xf>
    <xf numFmtId="0" fontId="1" fillId="7" borderId="22" xfId="0" applyFont="1" applyFill="1" applyBorder="1"/>
    <xf numFmtId="9" fontId="1" fillId="7" borderId="22" xfId="0" applyNumberFormat="1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2" fontId="1" fillId="7" borderId="22" xfId="0" applyNumberFormat="1" applyFont="1" applyFill="1" applyBorder="1" applyAlignment="1">
      <alignment horizontal="center" vertical="center"/>
    </xf>
    <xf numFmtId="2" fontId="1" fillId="7" borderId="22" xfId="0" applyNumberFormat="1" applyFont="1" applyFill="1" applyBorder="1" applyAlignment="1">
      <alignment horizontal="center"/>
    </xf>
    <xf numFmtId="0" fontId="1" fillId="8" borderId="11" xfId="0" applyFont="1" applyFill="1" applyBorder="1"/>
    <xf numFmtId="0" fontId="1" fillId="8" borderId="11" xfId="0" applyFont="1" applyFill="1" applyBorder="1" applyAlignment="1">
      <alignment horizontal="center" vertical="center"/>
    </xf>
    <xf numFmtId="2" fontId="1" fillId="8" borderId="11" xfId="0" applyNumberFormat="1" applyFont="1" applyFill="1" applyBorder="1" applyAlignment="1">
      <alignment horizontal="center" vertical="center"/>
    </xf>
    <xf numFmtId="0" fontId="1" fillId="8" borderId="15" xfId="0" applyFont="1" applyFill="1" applyBorder="1"/>
    <xf numFmtId="9" fontId="1" fillId="8" borderId="15" xfId="0" applyNumberFormat="1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2" fontId="1" fillId="8" borderId="15" xfId="0" applyNumberFormat="1" applyFont="1" applyFill="1" applyBorder="1" applyAlignment="1">
      <alignment horizontal="center" vertical="center"/>
    </xf>
    <xf numFmtId="2" fontId="1" fillId="8" borderId="15" xfId="0" applyNumberFormat="1" applyFont="1" applyFill="1" applyBorder="1" applyAlignment="1">
      <alignment horizontal="center"/>
    </xf>
    <xf numFmtId="2" fontId="1" fillId="8" borderId="22" xfId="0" applyNumberFormat="1" applyFont="1" applyFill="1" applyBorder="1" applyAlignment="1">
      <alignment horizontal="center"/>
    </xf>
    <xf numFmtId="2" fontId="1" fillId="7" borderId="11" xfId="0" applyNumberFormat="1" applyFont="1" applyFill="1" applyBorder="1" applyAlignment="1">
      <alignment horizontal="center"/>
    </xf>
    <xf numFmtId="2" fontId="1" fillId="8" borderId="11" xfId="0" applyNumberFormat="1" applyFont="1" applyFill="1" applyBorder="1" applyAlignment="1">
      <alignment horizontal="center"/>
    </xf>
    <xf numFmtId="2" fontId="1" fillId="7" borderId="16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7" borderId="10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1" fillId="6" borderId="2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6" borderId="49" xfId="0" applyFont="1" applyFill="1" applyBorder="1" applyAlignment="1">
      <alignment horizontal="center" vertical="center"/>
    </xf>
    <xf numFmtId="0" fontId="1" fillId="6" borderId="60" xfId="0" applyFont="1" applyFill="1" applyBorder="1" applyAlignment="1">
      <alignment horizontal="center" vertical="center"/>
    </xf>
    <xf numFmtId="9" fontId="1" fillId="7" borderId="61" xfId="0" applyNumberFormat="1" applyFont="1" applyFill="1" applyBorder="1" applyAlignment="1">
      <alignment horizontal="center" vertical="center"/>
    </xf>
    <xf numFmtId="9" fontId="1" fillId="7" borderId="49" xfId="0" applyNumberFormat="1" applyFont="1" applyFill="1" applyBorder="1" applyAlignment="1">
      <alignment horizontal="center" vertical="center"/>
    </xf>
    <xf numFmtId="9" fontId="1" fillId="7" borderId="50" xfId="0" applyNumberFormat="1" applyFont="1" applyFill="1" applyBorder="1" applyAlignment="1">
      <alignment horizontal="center" vertical="center"/>
    </xf>
    <xf numFmtId="9" fontId="1" fillId="8" borderId="61" xfId="0" applyNumberFormat="1" applyFont="1" applyFill="1" applyBorder="1" applyAlignment="1">
      <alignment horizontal="center" vertical="center"/>
    </xf>
    <xf numFmtId="9" fontId="1" fillId="8" borderId="49" xfId="0" applyNumberFormat="1" applyFont="1" applyFill="1" applyBorder="1" applyAlignment="1">
      <alignment horizontal="center" vertical="center"/>
    </xf>
    <xf numFmtId="9" fontId="1" fillId="8" borderId="60" xfId="0" applyNumberFormat="1" applyFont="1" applyFill="1" applyBorder="1" applyAlignment="1">
      <alignment horizontal="center" vertical="center"/>
    </xf>
    <xf numFmtId="9" fontId="1" fillId="7" borderId="62" xfId="0" applyNumberFormat="1" applyFont="1" applyFill="1" applyBorder="1" applyAlignment="1">
      <alignment horizontal="center" vertical="center"/>
    </xf>
    <xf numFmtId="9" fontId="1" fillId="7" borderId="60" xfId="0" applyNumberFormat="1" applyFont="1" applyFill="1" applyBorder="1" applyAlignment="1">
      <alignment horizontal="center" vertical="center"/>
    </xf>
    <xf numFmtId="9" fontId="1" fillId="8" borderId="62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55" xfId="0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8" xfId="0" applyFill="1" applyBorder="1"/>
    <xf numFmtId="0" fontId="0" fillId="0" borderId="0" xfId="0" applyFill="1" applyBorder="1"/>
    <xf numFmtId="0" fontId="0" fillId="2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15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15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2" fontId="0" fillId="0" borderId="0" xfId="0" applyNumberFormat="1" applyFill="1" applyBorder="1"/>
    <xf numFmtId="10" fontId="0" fillId="0" borderId="0" xfId="0" applyNumberFormat="1"/>
    <xf numFmtId="2" fontId="0" fillId="0" borderId="0" xfId="0" applyNumberFormat="1"/>
    <xf numFmtId="1" fontId="0" fillId="0" borderId="0" xfId="0" applyNumberFormat="1"/>
    <xf numFmtId="2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3" borderId="31" xfId="0" applyNumberFormat="1" applyFill="1" applyBorder="1" applyAlignment="1">
      <alignment horizontal="center" vertical="center"/>
    </xf>
    <xf numFmtId="2" fontId="0" fillId="3" borderId="32" xfId="0" applyNumberFormat="1" applyFill="1" applyBorder="1" applyAlignment="1">
      <alignment horizontal="center" vertical="center"/>
    </xf>
    <xf numFmtId="2" fontId="0" fillId="4" borderId="31" xfId="0" applyNumberFormat="1" applyFill="1" applyBorder="1" applyAlignment="1">
      <alignment horizontal="center" vertical="center"/>
    </xf>
    <xf numFmtId="2" fontId="0" fillId="4" borderId="32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" fontId="0" fillId="0" borderId="0" xfId="0" applyNumberFormat="1" applyFill="1" applyBorder="1"/>
    <xf numFmtId="1" fontId="0" fillId="0" borderId="19" xfId="0" applyNumberFormat="1" applyFill="1" applyBorder="1"/>
    <xf numFmtId="9" fontId="1" fillId="0" borderId="16" xfId="0" applyNumberFormat="1" applyFont="1" applyFill="1" applyBorder="1" applyAlignment="1">
      <alignment horizontal="center" vertical="center"/>
    </xf>
    <xf numFmtId="9" fontId="1" fillId="0" borderId="13" xfId="0" applyNumberFormat="1" applyFont="1" applyFill="1" applyBorder="1" applyAlignment="1">
      <alignment horizontal="center" vertical="center"/>
    </xf>
    <xf numFmtId="9" fontId="1" fillId="0" borderId="15" xfId="0" applyNumberFormat="1" applyFont="1" applyFill="1" applyBorder="1" applyAlignment="1">
      <alignment horizontal="center" vertical="center"/>
    </xf>
    <xf numFmtId="9" fontId="1" fillId="6" borderId="22" xfId="0" applyNumberFormat="1" applyFont="1" applyFill="1" applyBorder="1" applyAlignment="1">
      <alignment horizontal="center" vertical="center"/>
    </xf>
    <xf numFmtId="9" fontId="1" fillId="6" borderId="13" xfId="0" applyNumberFormat="1" applyFont="1" applyFill="1" applyBorder="1" applyAlignment="1">
      <alignment horizontal="center" vertical="center"/>
    </xf>
    <xf numFmtId="9" fontId="1" fillId="6" borderId="15" xfId="0" applyNumberFormat="1" applyFont="1" applyFill="1" applyBorder="1" applyAlignment="1">
      <alignment horizontal="center" vertical="center"/>
    </xf>
    <xf numFmtId="9" fontId="1" fillId="0" borderId="22" xfId="0" applyNumberFormat="1" applyFont="1" applyFill="1" applyBorder="1" applyAlignment="1">
      <alignment horizontal="center" vertical="center"/>
    </xf>
    <xf numFmtId="9" fontId="1" fillId="6" borderId="11" xfId="0" applyNumberFormat="1" applyFont="1" applyFill="1" applyBorder="1" applyAlignment="1">
      <alignment horizontal="center" vertical="center"/>
    </xf>
    <xf numFmtId="9" fontId="1" fillId="0" borderId="61" xfId="0" applyNumberFormat="1" applyFont="1" applyFill="1" applyBorder="1" applyAlignment="1">
      <alignment horizontal="center" vertical="center"/>
    </xf>
    <xf numFmtId="9" fontId="1" fillId="0" borderId="49" xfId="0" applyNumberFormat="1" applyFont="1" applyFill="1" applyBorder="1" applyAlignment="1">
      <alignment horizontal="center" vertical="center"/>
    </xf>
    <xf numFmtId="9" fontId="1" fillId="0" borderId="60" xfId="0" applyNumberFormat="1" applyFont="1" applyFill="1" applyBorder="1" applyAlignment="1">
      <alignment horizontal="center" vertical="center"/>
    </xf>
    <xf numFmtId="9" fontId="1" fillId="6" borderId="48" xfId="0" applyNumberFormat="1" applyFont="1" applyFill="1" applyBorder="1" applyAlignment="1">
      <alignment horizontal="center" vertical="center"/>
    </xf>
    <xf numFmtId="9" fontId="1" fillId="0" borderId="11" xfId="0" applyNumberFormat="1" applyFont="1" applyFill="1" applyBorder="1" applyAlignment="1">
      <alignment horizontal="center" vertical="center"/>
    </xf>
    <xf numFmtId="9" fontId="1" fillId="0" borderId="17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/>
    <xf numFmtId="1" fontId="1" fillId="7" borderId="16" xfId="0" applyNumberFormat="1" applyFont="1" applyFill="1" applyBorder="1" applyAlignment="1">
      <alignment horizontal="center" vertical="center"/>
    </xf>
    <xf numFmtId="1" fontId="1" fillId="7" borderId="13" xfId="0" applyNumberFormat="1" applyFont="1" applyFill="1" applyBorder="1" applyAlignment="1">
      <alignment horizontal="center" vertical="center"/>
    </xf>
    <xf numFmtId="1" fontId="1" fillId="7" borderId="15" xfId="0" applyNumberFormat="1" applyFont="1" applyFill="1" applyBorder="1" applyAlignment="1">
      <alignment horizontal="center" vertical="center"/>
    </xf>
    <xf numFmtId="1" fontId="1" fillId="8" borderId="22" xfId="0" applyNumberFormat="1" applyFont="1" applyFill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8" borderId="38" xfId="0" applyNumberFormat="1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1" fontId="1" fillId="7" borderId="38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 vertical="center"/>
    </xf>
    <xf numFmtId="1" fontId="1" fillId="8" borderId="15" xfId="0" applyNumberFormat="1" applyFont="1" applyFill="1" applyBorder="1" applyAlignment="1">
      <alignment horizontal="center" vertical="center"/>
    </xf>
    <xf numFmtId="1" fontId="1" fillId="7" borderId="22" xfId="0" applyNumberFormat="1" applyFont="1" applyFill="1" applyBorder="1" applyAlignment="1">
      <alignment horizontal="center" vertical="center"/>
    </xf>
    <xf numFmtId="1" fontId="1" fillId="7" borderId="17" xfId="0" applyNumberFormat="1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0" fontId="1" fillId="2" borderId="73" xfId="0" applyFont="1" applyFill="1" applyBorder="1" applyAlignment="1">
      <alignment vertical="center" wrapText="1"/>
    </xf>
    <xf numFmtId="0" fontId="1" fillId="2" borderId="74" xfId="0" applyFont="1" applyFill="1" applyBorder="1" applyAlignment="1">
      <alignment vertical="center" wrapText="1"/>
    </xf>
    <xf numFmtId="0" fontId="1" fillId="2" borderId="7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73" xfId="0" applyFont="1" applyBorder="1"/>
    <xf numFmtId="2" fontId="0" fillId="0" borderId="70" xfId="0" applyNumberFormat="1" applyBorder="1"/>
    <xf numFmtId="2" fontId="2" fillId="0" borderId="70" xfId="0" applyNumberFormat="1" applyFont="1" applyBorder="1"/>
    <xf numFmtId="2" fontId="5" fillId="0" borderId="1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0" fillId="9" borderId="25" xfId="0" applyFill="1" applyBorder="1" applyAlignment="1">
      <alignment horizontal="center" vertical="center"/>
    </xf>
    <xf numFmtId="1" fontId="6" fillId="5" borderId="64" xfId="0" applyNumberFormat="1" applyFont="1" applyFill="1" applyBorder="1" applyAlignment="1">
      <alignment horizontal="center" vertical="center"/>
    </xf>
    <xf numFmtId="1" fontId="6" fillId="5" borderId="65" xfId="0" applyNumberFormat="1" applyFont="1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67" xfId="0" applyFill="1" applyBorder="1" applyAlignment="1">
      <alignment horizontal="center" vertical="center"/>
    </xf>
    <xf numFmtId="1" fontId="1" fillId="7" borderId="25" xfId="0" applyNumberFormat="1" applyFont="1" applyFill="1" applyBorder="1" applyAlignment="1">
      <alignment horizontal="center" vertical="center"/>
    </xf>
    <xf numFmtId="1" fontId="1" fillId="7" borderId="29" xfId="0" applyNumberFormat="1" applyFont="1" applyFill="1" applyBorder="1" applyAlignment="1">
      <alignment horizontal="center" vertical="center"/>
    </xf>
    <xf numFmtId="2" fontId="1" fillId="7" borderId="27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1" fillId="0" borderId="25" xfId="0" applyNumberFormat="1" applyFont="1" applyFill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1" fontId="1" fillId="0" borderId="54" xfId="0" applyNumberFormat="1" applyFont="1" applyFill="1" applyBorder="1" applyAlignment="1">
      <alignment horizontal="center" vertical="center"/>
    </xf>
    <xf numFmtId="1" fontId="1" fillId="0" borderId="72" xfId="0" applyNumberFormat="1" applyFont="1" applyFill="1" applyBorder="1" applyAlignment="1">
      <alignment horizontal="center" vertical="center"/>
    </xf>
    <xf numFmtId="1" fontId="6" fillId="5" borderId="69" xfId="0" applyNumberFormat="1" applyFont="1" applyFill="1" applyBorder="1" applyAlignment="1">
      <alignment horizontal="center" vertical="center"/>
    </xf>
    <xf numFmtId="1" fontId="6" fillId="5" borderId="68" xfId="0" applyNumberFormat="1" applyFont="1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53" xfId="0" applyFill="1" applyBorder="1" applyAlignment="1">
      <alignment horizontal="center" vertical="center"/>
    </xf>
    <xf numFmtId="1" fontId="1" fillId="8" borderId="27" xfId="0" applyNumberFormat="1" applyFont="1" applyFill="1" applyBorder="1" applyAlignment="1">
      <alignment horizontal="center" vertical="center"/>
    </xf>
    <xf numFmtId="1" fontId="1" fillId="8" borderId="25" xfId="0" applyNumberFormat="1" applyFont="1" applyFill="1" applyBorder="1" applyAlignment="1">
      <alignment horizontal="center" vertical="center"/>
    </xf>
    <xf numFmtId="1" fontId="1" fillId="8" borderId="2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1" fontId="1" fillId="0" borderId="57" xfId="0" applyNumberFormat="1" applyFont="1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1" fontId="1" fillId="7" borderId="56" xfId="0" applyNumberFormat="1" applyFont="1" applyFill="1" applyBorder="1" applyAlignment="1">
      <alignment horizontal="center" vertical="center"/>
    </xf>
    <xf numFmtId="1" fontId="1" fillId="7" borderId="54" xfId="0" applyNumberFormat="1" applyFont="1" applyFill="1" applyBorder="1" applyAlignment="1">
      <alignment horizontal="center" vertical="center"/>
    </xf>
    <xf numFmtId="1" fontId="1" fillId="7" borderId="57" xfId="0" applyNumberFormat="1" applyFont="1" applyFill="1" applyBorder="1" applyAlignment="1">
      <alignment horizontal="center" vertical="center"/>
    </xf>
    <xf numFmtId="1" fontId="1" fillId="0" borderId="56" xfId="0" applyNumberFormat="1" applyFont="1" applyFill="1" applyBorder="1" applyAlignment="1">
      <alignment horizontal="center" vertical="center"/>
    </xf>
    <xf numFmtId="1" fontId="1" fillId="9" borderId="27" xfId="0" applyNumberFormat="1" applyFont="1" applyFill="1" applyBorder="1" applyAlignment="1">
      <alignment horizontal="center" vertical="center"/>
    </xf>
    <xf numFmtId="1" fontId="1" fillId="9" borderId="25" xfId="0" applyNumberFormat="1" applyFont="1" applyFill="1" applyBorder="1" applyAlignment="1">
      <alignment horizontal="center" vertical="center"/>
    </xf>
    <xf numFmtId="1" fontId="1" fillId="9" borderId="26" xfId="0" applyNumberFormat="1" applyFont="1" applyFill="1" applyBorder="1" applyAlignment="1">
      <alignment horizontal="center" vertical="center"/>
    </xf>
    <xf numFmtId="1" fontId="1" fillId="0" borderId="71" xfId="0" applyNumberFormat="1" applyFont="1" applyFill="1" applyBorder="1" applyAlignment="1">
      <alignment horizontal="center" vertical="center"/>
    </xf>
    <xf numFmtId="1" fontId="6" fillId="5" borderId="6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66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2" fontId="1" fillId="7" borderId="24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1" fontId="2" fillId="5" borderId="69" xfId="0" applyNumberFormat="1" applyFont="1" applyFill="1" applyBorder="1" applyAlignment="1">
      <alignment horizontal="center" vertical="center"/>
    </xf>
    <xf numFmtId="1" fontId="2" fillId="5" borderId="64" xfId="0" applyNumberFormat="1" applyFont="1" applyFill="1" applyBorder="1" applyAlignment="1">
      <alignment horizontal="center" vertical="center"/>
    </xf>
    <xf numFmtId="1" fontId="2" fillId="5" borderId="68" xfId="0" applyNumberFormat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9" borderId="11" xfId="0" applyNumberFormat="1" applyFill="1" applyBorder="1" applyAlignment="1">
      <alignment horizontal="center" vertical="center"/>
    </xf>
    <xf numFmtId="0" fontId="0" fillId="9" borderId="13" xfId="0" applyNumberFormat="1" applyFill="1" applyBorder="1" applyAlignment="1">
      <alignment horizontal="center" vertical="center"/>
    </xf>
    <xf numFmtId="0" fontId="0" fillId="9" borderId="17" xfId="0" applyNumberForma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1" fontId="1" fillId="0" borderId="40" xfId="0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" fontId="1" fillId="0" borderId="45" xfId="0" applyNumberFormat="1" applyFont="1" applyFill="1" applyBorder="1" applyAlignment="1">
      <alignment horizontal="center" vertical="center"/>
    </xf>
    <xf numFmtId="1" fontId="2" fillId="5" borderId="65" xfId="0" applyNumberFormat="1" applyFont="1" applyFill="1" applyBorder="1" applyAlignment="1">
      <alignment horizontal="center" vertical="center"/>
    </xf>
    <xf numFmtId="1" fontId="1" fillId="0" borderId="58" xfId="0" applyNumberFormat="1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9" borderId="15" xfId="0" applyNumberForma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1" fontId="1" fillId="6" borderId="13" xfId="0" applyNumberFormat="1" applyFont="1" applyFill="1" applyBorder="1" applyAlignment="1">
      <alignment horizontal="center" vertical="center"/>
    </xf>
    <xf numFmtId="1" fontId="1" fillId="6" borderId="15" xfId="0" applyNumberFormat="1" applyFont="1" applyFill="1" applyBorder="1" applyAlignment="1">
      <alignment horizontal="center" vertical="center"/>
    </xf>
    <xf numFmtId="2" fontId="1" fillId="6" borderId="27" xfId="0" applyNumberFormat="1" applyFont="1" applyFill="1" applyBorder="1" applyAlignment="1">
      <alignment horizontal="center" vertical="center"/>
    </xf>
    <xf numFmtId="2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2" fontId="1" fillId="6" borderId="11" xfId="0" applyNumberFormat="1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2" fontId="1" fillId="6" borderId="15" xfId="0" applyNumberFormat="1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2" fontId="1" fillId="6" borderId="22" xfId="0" applyNumberFormat="1" applyFont="1" applyFill="1" applyBorder="1" applyAlignment="1">
      <alignment horizontal="center" vertical="center"/>
    </xf>
    <xf numFmtId="1" fontId="2" fillId="5" borderId="6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/>
    </xf>
    <xf numFmtId="0" fontId="0" fillId="9" borderId="46" xfId="0" applyNumberFormat="1" applyFill="1" applyBorder="1" applyAlignment="1">
      <alignment horizontal="center" vertical="center"/>
    </xf>
    <xf numFmtId="0" fontId="0" fillId="9" borderId="47" xfId="0" applyNumberFormat="1" applyFill="1" applyBorder="1" applyAlignment="1">
      <alignment horizontal="center" vertical="center"/>
    </xf>
    <xf numFmtId="0" fontId="0" fillId="9" borderId="59" xfId="0" applyNumberForma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4" borderId="13" xfId="0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6" borderId="11" xfId="0" applyNumberFormat="1" applyFill="1" applyBorder="1" applyAlignment="1">
      <alignment horizontal="center" vertical="center"/>
    </xf>
    <xf numFmtId="0" fontId="0" fillId="6" borderId="13" xfId="0" applyNumberFormat="1" applyFill="1" applyBorder="1" applyAlignment="1">
      <alignment horizontal="center" vertical="center"/>
    </xf>
    <xf numFmtId="0" fontId="0" fillId="6" borderId="15" xfId="0" applyNumberFormat="1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center" vertical="center"/>
    </xf>
    <xf numFmtId="0" fontId="0" fillId="0" borderId="47" xfId="0" applyNumberFormat="1" applyFill="1" applyBorder="1" applyAlignment="1">
      <alignment horizontal="center" vertical="center"/>
    </xf>
    <xf numFmtId="0" fontId="0" fillId="0" borderId="59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/>
    </xf>
    <xf numFmtId="1" fontId="1" fillId="7" borderId="26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/>
    <xf numFmtId="2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C0E0A0"/>
      <color rgb="FFEBF6F9"/>
      <color rgb="FFFFFFE5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126871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222371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showGridLines="0" zoomScale="90" zoomScaleNormal="90" workbookViewId="0">
      <pane xSplit="2" ySplit="4" topLeftCell="C69" activePane="bottomRight" state="frozen"/>
      <selection pane="topRight" activeCell="C1" sqref="C1"/>
      <selection pane="bottomLeft" activeCell="A4" sqref="A4"/>
      <selection pane="bottomRight" activeCell="O87" sqref="O87"/>
    </sheetView>
  </sheetViews>
  <sheetFormatPr defaultRowHeight="15" x14ac:dyDescent="0.25"/>
  <cols>
    <col min="1" max="1" width="9.140625" customWidth="1"/>
    <col min="2" max="2" width="12.5703125" customWidth="1"/>
    <col min="3" max="3" width="14.85546875" style="1" customWidth="1"/>
    <col min="4" max="4" width="37" style="1" bestFit="1" customWidth="1"/>
    <col min="5" max="5" width="14.85546875" style="1" customWidth="1"/>
    <col min="6" max="6" width="15.85546875" style="1" customWidth="1"/>
    <col min="7" max="7" width="12.5703125" style="1" customWidth="1"/>
    <col min="8" max="8" width="10.5703125" style="1" customWidth="1"/>
    <col min="9" max="9" width="14.5703125" style="1" hidden="1" customWidth="1"/>
    <col min="10" max="11" width="10.5703125" style="1" customWidth="1"/>
    <col min="12" max="12" width="18.5703125" style="1" customWidth="1"/>
    <col min="13" max="13" width="9.85546875" style="1" customWidth="1"/>
    <col min="14" max="14" width="15.5703125" style="1" bestFit="1" customWidth="1"/>
    <col min="15" max="15" width="12" customWidth="1"/>
  </cols>
  <sheetData>
    <row r="1" spans="1:18" x14ac:dyDescent="0.25">
      <c r="A1" s="321" t="s">
        <v>135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8" x14ac:dyDescent="0.25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</row>
    <row r="3" spans="1:18" ht="15.75" thickBot="1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8" s="5" customFormat="1" ht="69" customHeight="1" thickBot="1" x14ac:dyDescent="0.3">
      <c r="B4" s="214" t="s">
        <v>0</v>
      </c>
      <c r="C4" s="215" t="s">
        <v>108</v>
      </c>
      <c r="D4" s="215" t="s">
        <v>1</v>
      </c>
      <c r="E4" s="215" t="s">
        <v>133</v>
      </c>
      <c r="F4" s="215" t="s">
        <v>63</v>
      </c>
      <c r="G4" s="215" t="s">
        <v>134</v>
      </c>
      <c r="H4" s="215" t="s">
        <v>2</v>
      </c>
      <c r="I4" s="215" t="s">
        <v>92</v>
      </c>
      <c r="J4" s="215" t="s">
        <v>3</v>
      </c>
      <c r="K4" s="215" t="s">
        <v>109</v>
      </c>
      <c r="L4" s="215" t="s">
        <v>4</v>
      </c>
      <c r="M4" s="215" t="s">
        <v>151</v>
      </c>
      <c r="N4" s="215" t="s">
        <v>5</v>
      </c>
      <c r="O4" s="216" t="s">
        <v>15</v>
      </c>
    </row>
    <row r="5" spans="1:18" ht="15" customHeight="1" x14ac:dyDescent="0.25">
      <c r="A5" s="322" t="s">
        <v>103</v>
      </c>
      <c r="B5" s="325" t="s">
        <v>17</v>
      </c>
      <c r="C5" s="326">
        <v>400</v>
      </c>
      <c r="D5" s="140" t="s">
        <v>16</v>
      </c>
      <c r="E5" s="187">
        <v>0.26939999999999997</v>
      </c>
      <c r="F5" s="28">
        <v>6</v>
      </c>
      <c r="G5" s="329">
        <v>1</v>
      </c>
      <c r="H5" s="330">
        <f>SUM(Descrição!$E$9,Descrição!$E$11)</f>
        <v>0.91670000000000007</v>
      </c>
      <c r="I5" s="330">
        <v>0</v>
      </c>
      <c r="J5" s="164">
        <f>F5+G5+H5+I5</f>
        <v>7.9167000000000005</v>
      </c>
      <c r="K5" s="279">
        <f>J5*E5+J6*E6+J7*E7</f>
        <v>6.2908999999999997</v>
      </c>
      <c r="L5" s="153">
        <f>Descrição!$F$93</f>
        <v>23.7</v>
      </c>
      <c r="M5" s="279">
        <f>L5/K5</f>
        <v>3.7673464846047464</v>
      </c>
      <c r="N5" s="331">
        <f>M5*C5</f>
        <v>1506.9385938418986</v>
      </c>
      <c r="O5" s="320">
        <f>AVERAGE(N5:N7)</f>
        <v>1506.9385938418986</v>
      </c>
    </row>
    <row r="6" spans="1:18" x14ac:dyDescent="0.25">
      <c r="A6" s="323"/>
      <c r="B6" s="284"/>
      <c r="C6" s="327"/>
      <c r="D6" s="127" t="s">
        <v>64</v>
      </c>
      <c r="E6" s="188">
        <v>0.64829999999999999</v>
      </c>
      <c r="F6" s="25">
        <v>4</v>
      </c>
      <c r="G6" s="290"/>
      <c r="H6" s="293"/>
      <c r="I6" s="293"/>
      <c r="J6" s="165">
        <f>F6+G5+H5+I5</f>
        <v>5.9167000000000005</v>
      </c>
      <c r="K6" s="241"/>
      <c r="L6" s="143">
        <f>Descrição!$F$93</f>
        <v>23.7</v>
      </c>
      <c r="M6" s="241"/>
      <c r="N6" s="296"/>
      <c r="O6" s="281"/>
      <c r="P6" s="268"/>
      <c r="Q6" s="268"/>
      <c r="R6" s="268"/>
    </row>
    <row r="7" spans="1:18" x14ac:dyDescent="0.25">
      <c r="A7" s="323"/>
      <c r="B7" s="313"/>
      <c r="C7" s="328"/>
      <c r="D7" s="128" t="s">
        <v>65</v>
      </c>
      <c r="E7" s="189">
        <v>8.2299999999999998E-2</v>
      </c>
      <c r="F7" s="26">
        <v>2</v>
      </c>
      <c r="G7" s="315"/>
      <c r="H7" s="317"/>
      <c r="I7" s="317"/>
      <c r="J7" s="166">
        <f>F7+G5+H5+I5</f>
        <v>3.9167000000000001</v>
      </c>
      <c r="K7" s="255"/>
      <c r="L7" s="143">
        <f>Descrição!$F$93</f>
        <v>23.7</v>
      </c>
      <c r="M7" s="255"/>
      <c r="N7" s="299"/>
      <c r="O7" s="282"/>
      <c r="P7" s="268"/>
      <c r="Q7" s="268"/>
      <c r="R7" s="268"/>
    </row>
    <row r="8" spans="1:18" x14ac:dyDescent="0.25">
      <c r="A8" s="323"/>
      <c r="B8" s="300" t="s">
        <v>18</v>
      </c>
      <c r="C8" s="286">
        <v>550</v>
      </c>
      <c r="D8" s="126" t="s">
        <v>16</v>
      </c>
      <c r="E8" s="190">
        <v>0.26939999999999997</v>
      </c>
      <c r="F8" s="30">
        <v>6</v>
      </c>
      <c r="G8" s="318">
        <v>1</v>
      </c>
      <c r="H8" s="307">
        <f>SUM(Descrição!$E$9,Descrição!$E$11)</f>
        <v>0.91670000000000007</v>
      </c>
      <c r="I8" s="319">
        <v>0</v>
      </c>
      <c r="J8" s="167">
        <f>F8+G8+H8+I8</f>
        <v>7.9167000000000005</v>
      </c>
      <c r="K8" s="254">
        <f t="shared" ref="K8" si="0">J8*E8+J9*E9+J10*E10</f>
        <v>6.2908999999999997</v>
      </c>
      <c r="L8" s="77">
        <f>Descrição!$F$93</f>
        <v>23.7</v>
      </c>
      <c r="M8" s="254">
        <f>L8/K8</f>
        <v>3.7673464846047464</v>
      </c>
      <c r="N8" s="296">
        <f>M8*C8</f>
        <v>2072.0405665326107</v>
      </c>
      <c r="O8" s="280">
        <f>SUM(N8:N10)</f>
        <v>2072.0405665326107</v>
      </c>
      <c r="P8" s="268"/>
      <c r="Q8" s="268"/>
      <c r="R8" s="268"/>
    </row>
    <row r="9" spans="1:18" x14ac:dyDescent="0.25">
      <c r="A9" s="323"/>
      <c r="B9" s="301"/>
      <c r="C9" s="287"/>
      <c r="D9" s="74" t="s">
        <v>64</v>
      </c>
      <c r="E9" s="191">
        <v>0.64829999999999999</v>
      </c>
      <c r="F9" s="129">
        <v>4</v>
      </c>
      <c r="G9" s="305"/>
      <c r="H9" s="308"/>
      <c r="I9" s="311"/>
      <c r="J9" s="167">
        <f>+F9+G8+H8+I8</f>
        <v>5.9167000000000005</v>
      </c>
      <c r="K9" s="241"/>
      <c r="L9" s="143">
        <f>Descrição!$F$93</f>
        <v>23.7</v>
      </c>
      <c r="M9" s="241"/>
      <c r="N9" s="296"/>
      <c r="O9" s="281"/>
      <c r="P9" s="268"/>
      <c r="Q9" s="268"/>
      <c r="R9" s="268"/>
    </row>
    <row r="10" spans="1:18" x14ac:dyDescent="0.25">
      <c r="A10" s="323"/>
      <c r="B10" s="302"/>
      <c r="C10" s="303"/>
      <c r="D10" s="75" t="s">
        <v>65</v>
      </c>
      <c r="E10" s="192">
        <v>8.2299999999999998E-2</v>
      </c>
      <c r="F10" s="130">
        <v>2</v>
      </c>
      <c r="G10" s="306"/>
      <c r="H10" s="309"/>
      <c r="I10" s="312"/>
      <c r="J10" s="168">
        <f>F10+G8+H8+I8</f>
        <v>3.9167000000000001</v>
      </c>
      <c r="K10" s="255"/>
      <c r="L10" s="143">
        <f>Descrição!$F$93</f>
        <v>23.7</v>
      </c>
      <c r="M10" s="255"/>
      <c r="N10" s="299"/>
      <c r="O10" s="282"/>
    </row>
    <row r="11" spans="1:18" x14ac:dyDescent="0.25">
      <c r="A11" s="323"/>
      <c r="B11" s="283" t="s">
        <v>21</v>
      </c>
      <c r="C11" s="286">
        <v>1000</v>
      </c>
      <c r="D11" s="76" t="s">
        <v>16</v>
      </c>
      <c r="E11" s="193">
        <v>0.26939999999999997</v>
      </c>
      <c r="F11" s="27">
        <v>6</v>
      </c>
      <c r="G11" s="289">
        <v>1</v>
      </c>
      <c r="H11" s="254">
        <f>SUM(Descrição!$E$9,Descrição!$E$11)</f>
        <v>0.91670000000000007</v>
      </c>
      <c r="I11" s="292">
        <v>0</v>
      </c>
      <c r="J11" s="169">
        <f>F11+G11+H11+I11</f>
        <v>7.9167000000000005</v>
      </c>
      <c r="K11" s="254">
        <f t="shared" ref="K11" si="1">J11*E11+J12*E12+J13*E13</f>
        <v>6.2908999999999997</v>
      </c>
      <c r="L11" s="77">
        <f>Descrição!$F$93</f>
        <v>23.7</v>
      </c>
      <c r="M11" s="254">
        <f>L11/K11</f>
        <v>3.7673464846047464</v>
      </c>
      <c r="N11" s="296">
        <f>M11*C11</f>
        <v>3767.3464846047464</v>
      </c>
      <c r="O11" s="280">
        <f t="shared" ref="O11" si="2">SUM(N11:N13)</f>
        <v>3767.3464846047464</v>
      </c>
    </row>
    <row r="12" spans="1:18" x14ac:dyDescent="0.25">
      <c r="A12" s="323"/>
      <c r="B12" s="284"/>
      <c r="C12" s="287"/>
      <c r="D12" s="71" t="s">
        <v>64</v>
      </c>
      <c r="E12" s="188">
        <v>0.64829999999999999</v>
      </c>
      <c r="F12" s="25">
        <v>4</v>
      </c>
      <c r="G12" s="290"/>
      <c r="H12" s="241"/>
      <c r="I12" s="293"/>
      <c r="J12" s="165">
        <f>+F12+G11+H11</f>
        <v>5.9167000000000005</v>
      </c>
      <c r="K12" s="241"/>
      <c r="L12" s="143">
        <f>Descrição!$F$93</f>
        <v>23.7</v>
      </c>
      <c r="M12" s="241"/>
      <c r="N12" s="296"/>
      <c r="O12" s="281"/>
    </row>
    <row r="13" spans="1:18" x14ac:dyDescent="0.25">
      <c r="A13" s="323"/>
      <c r="B13" s="313"/>
      <c r="C13" s="303"/>
      <c r="D13" s="72" t="s">
        <v>65</v>
      </c>
      <c r="E13" s="189">
        <v>8.2299999999999998E-2</v>
      </c>
      <c r="F13" s="26">
        <v>2</v>
      </c>
      <c r="G13" s="315"/>
      <c r="H13" s="255"/>
      <c r="I13" s="317"/>
      <c r="J13" s="166">
        <f>F13+G11+H11+I11</f>
        <v>3.9167000000000001</v>
      </c>
      <c r="K13" s="255"/>
      <c r="L13" s="143">
        <f>Descrição!$F$93</f>
        <v>23.7</v>
      </c>
      <c r="M13" s="255"/>
      <c r="N13" s="299"/>
      <c r="O13" s="282"/>
    </row>
    <row r="14" spans="1:18" x14ac:dyDescent="0.25">
      <c r="A14" s="323"/>
      <c r="B14" s="300" t="s">
        <v>24</v>
      </c>
      <c r="C14" s="286">
        <v>250</v>
      </c>
      <c r="D14" s="73" t="s">
        <v>16</v>
      </c>
      <c r="E14" s="194">
        <v>0.26939999999999997</v>
      </c>
      <c r="F14" s="30">
        <v>6</v>
      </c>
      <c r="G14" s="318">
        <v>1</v>
      </c>
      <c r="H14" s="307">
        <f>SUM(Descrição!$E$9,Descrição!$E$11)</f>
        <v>0.91670000000000007</v>
      </c>
      <c r="I14" s="319">
        <v>0</v>
      </c>
      <c r="J14" s="167">
        <f>F14+G14+H14+I14</f>
        <v>7.9167000000000005</v>
      </c>
      <c r="K14" s="254">
        <f t="shared" ref="K14" si="3">J14*E14+J15*E15+J16*E16</f>
        <v>6.2908999999999997</v>
      </c>
      <c r="L14" s="77">
        <f>Descrição!$F$93</f>
        <v>23.7</v>
      </c>
      <c r="M14" s="254">
        <f>L14/K14</f>
        <v>3.7673464846047464</v>
      </c>
      <c r="N14" s="296">
        <f>M14*C14</f>
        <v>941.83662115118659</v>
      </c>
      <c r="O14" s="280">
        <f>SUM(N14:N16)</f>
        <v>941.83662115118659</v>
      </c>
    </row>
    <row r="15" spans="1:18" x14ac:dyDescent="0.25">
      <c r="A15" s="323"/>
      <c r="B15" s="301"/>
      <c r="C15" s="287"/>
      <c r="D15" s="74" t="s">
        <v>64</v>
      </c>
      <c r="E15" s="191">
        <v>0.64829999999999999</v>
      </c>
      <c r="F15" s="129">
        <v>4</v>
      </c>
      <c r="G15" s="305"/>
      <c r="H15" s="308"/>
      <c r="I15" s="311"/>
      <c r="J15" s="167">
        <f>+F15+G14+H14+I14</f>
        <v>5.9167000000000005</v>
      </c>
      <c r="K15" s="241"/>
      <c r="L15" s="143">
        <f>Descrição!$F$93</f>
        <v>23.7</v>
      </c>
      <c r="M15" s="241"/>
      <c r="N15" s="296"/>
      <c r="O15" s="281"/>
      <c r="Q15" s="173"/>
    </row>
    <row r="16" spans="1:18" x14ac:dyDescent="0.25">
      <c r="A16" s="323"/>
      <c r="B16" s="302"/>
      <c r="C16" s="303"/>
      <c r="D16" s="75" t="s">
        <v>65</v>
      </c>
      <c r="E16" s="192">
        <v>8.2299999999999998E-2</v>
      </c>
      <c r="F16" s="130">
        <v>2</v>
      </c>
      <c r="G16" s="306"/>
      <c r="H16" s="309"/>
      <c r="I16" s="312"/>
      <c r="J16" s="168">
        <f>F16+G14+H14+I14</f>
        <v>3.9167000000000001</v>
      </c>
      <c r="K16" s="255"/>
      <c r="L16" s="26">
        <f>Descrição!$F$93</f>
        <v>23.7</v>
      </c>
      <c r="M16" s="255"/>
      <c r="N16" s="299"/>
      <c r="O16" s="282"/>
    </row>
    <row r="17" spans="1:18" x14ac:dyDescent="0.25">
      <c r="A17" s="323"/>
      <c r="B17" s="283" t="s">
        <v>30</v>
      </c>
      <c r="C17" s="286">
        <v>120</v>
      </c>
      <c r="D17" s="76" t="s">
        <v>16</v>
      </c>
      <c r="E17" s="195">
        <v>0.26939999999999997</v>
      </c>
      <c r="F17" s="27">
        <v>6</v>
      </c>
      <c r="G17" s="314">
        <v>1</v>
      </c>
      <c r="H17" s="254">
        <f>SUM(Descrição!$E$9,Descrição!$E$11)</f>
        <v>0.91670000000000007</v>
      </c>
      <c r="I17" s="316">
        <v>0</v>
      </c>
      <c r="J17" s="169">
        <f>F17+G17+H17+I17</f>
        <v>7.9167000000000005</v>
      </c>
      <c r="K17" s="254">
        <f t="shared" ref="K17" si="4">J17*E17+J18*E18+J19*E19</f>
        <v>6.2908999999999997</v>
      </c>
      <c r="L17" s="151">
        <f>Descrição!$F$93</f>
        <v>23.7</v>
      </c>
      <c r="M17" s="254">
        <f>L17/K17</f>
        <v>3.7673464846047464</v>
      </c>
      <c r="N17" s="295">
        <f>M17*C17</f>
        <v>452.08157815256959</v>
      </c>
      <c r="O17" s="280">
        <f>SUM(N17:N19)</f>
        <v>452.08157815256959</v>
      </c>
    </row>
    <row r="18" spans="1:18" x14ac:dyDescent="0.25">
      <c r="A18" s="323"/>
      <c r="B18" s="284"/>
      <c r="C18" s="287"/>
      <c r="D18" s="71" t="s">
        <v>64</v>
      </c>
      <c r="E18" s="196">
        <v>0.64829999999999999</v>
      </c>
      <c r="F18" s="25">
        <v>4</v>
      </c>
      <c r="G18" s="290"/>
      <c r="H18" s="241"/>
      <c r="I18" s="293"/>
      <c r="J18" s="165">
        <f>+F18+G17+H17+I17</f>
        <v>5.9167000000000005</v>
      </c>
      <c r="K18" s="241"/>
      <c r="L18" s="143">
        <f>Descrição!$F$93</f>
        <v>23.7</v>
      </c>
      <c r="M18" s="241"/>
      <c r="N18" s="296"/>
      <c r="O18" s="281"/>
    </row>
    <row r="19" spans="1:18" x14ac:dyDescent="0.25">
      <c r="A19" s="323"/>
      <c r="B19" s="313"/>
      <c r="C19" s="303"/>
      <c r="D19" s="72" t="s">
        <v>65</v>
      </c>
      <c r="E19" s="197">
        <v>8.2299999999999998E-2</v>
      </c>
      <c r="F19" s="26">
        <v>2</v>
      </c>
      <c r="G19" s="315"/>
      <c r="H19" s="255"/>
      <c r="I19" s="317"/>
      <c r="J19" s="166">
        <f>F19+G17+H17+I17</f>
        <v>3.9167000000000001</v>
      </c>
      <c r="K19" s="255"/>
      <c r="L19" s="26">
        <f>Descrição!$F$93</f>
        <v>23.7</v>
      </c>
      <c r="M19" s="255"/>
      <c r="N19" s="299"/>
      <c r="O19" s="282"/>
    </row>
    <row r="20" spans="1:18" x14ac:dyDescent="0.25">
      <c r="A20" s="323"/>
      <c r="B20" s="300" t="s">
        <v>31</v>
      </c>
      <c r="C20" s="286">
        <v>650</v>
      </c>
      <c r="D20" s="73" t="s">
        <v>16</v>
      </c>
      <c r="E20" s="198">
        <v>0.26939999999999997</v>
      </c>
      <c r="F20" s="30">
        <v>6</v>
      </c>
      <c r="G20" s="304">
        <v>1</v>
      </c>
      <c r="H20" s="307">
        <f>SUM(Descrição!$E$9,Descrição!$E$11)</f>
        <v>0.91670000000000007</v>
      </c>
      <c r="I20" s="310">
        <v>0</v>
      </c>
      <c r="J20" s="167">
        <f>F20+G20+H20+I20</f>
        <v>7.9167000000000005</v>
      </c>
      <c r="K20" s="254">
        <f t="shared" ref="K20" si="5">J20*E20+J21*E21+J22*E22</f>
        <v>6.2908999999999997</v>
      </c>
      <c r="L20" s="151">
        <f>Descrição!$F$93</f>
        <v>23.7</v>
      </c>
      <c r="M20" s="254">
        <f>L20/K20</f>
        <v>3.7673464846047464</v>
      </c>
      <c r="N20" s="295">
        <f>M20*C20</f>
        <v>2448.7752149930852</v>
      </c>
      <c r="O20" s="280">
        <f t="shared" ref="O20" si="6">SUM(N20:N22)</f>
        <v>2448.7752149930852</v>
      </c>
    </row>
    <row r="21" spans="1:18" x14ac:dyDescent="0.25">
      <c r="A21" s="323"/>
      <c r="B21" s="301"/>
      <c r="C21" s="287"/>
      <c r="D21" s="74" t="s">
        <v>64</v>
      </c>
      <c r="E21" s="191">
        <v>0.64829999999999999</v>
      </c>
      <c r="F21" s="129">
        <v>4</v>
      </c>
      <c r="G21" s="305"/>
      <c r="H21" s="308"/>
      <c r="I21" s="311"/>
      <c r="J21" s="167">
        <f>+F21+G20+H20+I20</f>
        <v>5.9167000000000005</v>
      </c>
      <c r="K21" s="241"/>
      <c r="L21" s="143">
        <f>Descrição!$F$93</f>
        <v>23.7</v>
      </c>
      <c r="M21" s="241"/>
      <c r="N21" s="296"/>
      <c r="O21" s="281"/>
    </row>
    <row r="22" spans="1:18" x14ac:dyDescent="0.25">
      <c r="A22" s="323"/>
      <c r="B22" s="302"/>
      <c r="C22" s="303"/>
      <c r="D22" s="75" t="s">
        <v>65</v>
      </c>
      <c r="E22" s="192">
        <v>8.2299999999999998E-2</v>
      </c>
      <c r="F22" s="130">
        <v>2</v>
      </c>
      <c r="G22" s="306"/>
      <c r="H22" s="309"/>
      <c r="I22" s="312"/>
      <c r="J22" s="168">
        <f>F22+G20+H20+I20</f>
        <v>3.9167000000000001</v>
      </c>
      <c r="K22" s="255"/>
      <c r="L22" s="143">
        <f>Descrição!$F$93</f>
        <v>23.7</v>
      </c>
      <c r="M22" s="255"/>
      <c r="N22" s="299"/>
      <c r="O22" s="282"/>
    </row>
    <row r="23" spans="1:18" x14ac:dyDescent="0.25">
      <c r="A23" s="323"/>
      <c r="B23" s="283" t="s">
        <v>33</v>
      </c>
      <c r="C23" s="286">
        <v>1000</v>
      </c>
      <c r="D23" s="76" t="s">
        <v>16</v>
      </c>
      <c r="E23" s="199">
        <v>0.26939999999999997</v>
      </c>
      <c r="F23" s="27">
        <v>6</v>
      </c>
      <c r="G23" s="289">
        <v>1</v>
      </c>
      <c r="H23" s="254">
        <f>SUM(Descrição!$E$9,Descrição!$E$11)</f>
        <v>0.91670000000000007</v>
      </c>
      <c r="I23" s="292">
        <v>0</v>
      </c>
      <c r="J23" s="169">
        <f>F23+G23+H23+I23</f>
        <v>7.9167000000000005</v>
      </c>
      <c r="K23" s="254">
        <f>J23*E23+J24*E24+J25*E25</f>
        <v>6.2908999999999997</v>
      </c>
      <c r="L23" s="77">
        <f>Descrição!$F$93</f>
        <v>23.7</v>
      </c>
      <c r="M23" s="254">
        <f>L23/K23</f>
        <v>3.7673464846047464</v>
      </c>
      <c r="N23" s="295">
        <f>M23*C23</f>
        <v>3767.3464846047464</v>
      </c>
      <c r="O23" s="280">
        <f>SUM(N23:N25)</f>
        <v>3767.3464846047464</v>
      </c>
    </row>
    <row r="24" spans="1:18" x14ac:dyDescent="0.25">
      <c r="A24" s="323"/>
      <c r="B24" s="284"/>
      <c r="C24" s="287"/>
      <c r="D24" s="71" t="s">
        <v>64</v>
      </c>
      <c r="E24" s="188">
        <v>0.64829999999999999</v>
      </c>
      <c r="F24" s="25">
        <v>4</v>
      </c>
      <c r="G24" s="290"/>
      <c r="H24" s="241"/>
      <c r="I24" s="293"/>
      <c r="J24" s="165">
        <f>+F24+G23+H23+I23</f>
        <v>5.9167000000000005</v>
      </c>
      <c r="K24" s="241"/>
      <c r="L24" s="143">
        <f>Descrição!$F$93</f>
        <v>23.7</v>
      </c>
      <c r="M24" s="241"/>
      <c r="N24" s="296"/>
      <c r="O24" s="281"/>
    </row>
    <row r="25" spans="1:18" ht="15.75" thickBot="1" x14ac:dyDescent="0.3">
      <c r="A25" s="324"/>
      <c r="B25" s="285"/>
      <c r="C25" s="288"/>
      <c r="D25" s="78" t="s">
        <v>65</v>
      </c>
      <c r="E25" s="200">
        <v>8.2299999999999998E-2</v>
      </c>
      <c r="F25" s="29">
        <v>2</v>
      </c>
      <c r="G25" s="291"/>
      <c r="H25" s="242"/>
      <c r="I25" s="294"/>
      <c r="J25" s="170">
        <f>F25+G23+H23+I23</f>
        <v>3.9167000000000001</v>
      </c>
      <c r="K25" s="242"/>
      <c r="L25" s="29">
        <f>Descrição!$F$93</f>
        <v>23.7</v>
      </c>
      <c r="M25" s="242"/>
      <c r="N25" s="297"/>
      <c r="O25" s="298"/>
    </row>
    <row r="26" spans="1:18" s="40" customFormat="1" ht="4.5" customHeight="1" thickBot="1" x14ac:dyDescent="0.3">
      <c r="A26" s="146"/>
      <c r="B26" s="146"/>
      <c r="C26" s="147"/>
      <c r="D26" s="147"/>
      <c r="E26" s="201"/>
      <c r="F26" s="147"/>
      <c r="G26" s="185"/>
      <c r="H26" s="147"/>
      <c r="I26" s="147"/>
      <c r="J26" s="147"/>
      <c r="K26" s="147"/>
      <c r="L26" s="147"/>
      <c r="M26" s="172"/>
      <c r="N26" s="185"/>
      <c r="O26" s="186"/>
    </row>
    <row r="27" spans="1:18" x14ac:dyDescent="0.25">
      <c r="A27" s="269" t="s">
        <v>60</v>
      </c>
      <c r="B27" s="272" t="s">
        <v>19</v>
      </c>
      <c r="C27" s="275">
        <v>750</v>
      </c>
      <c r="D27" s="41" t="s">
        <v>66</v>
      </c>
      <c r="E27" s="85">
        <v>0.6</v>
      </c>
      <c r="F27" s="42">
        <v>10</v>
      </c>
      <c r="G27" s="202">
        <v>2</v>
      </c>
      <c r="H27" s="278">
        <f>SUM(Descrição!$E$9,Descrição!$E$11)</f>
        <v>0.91670000000000007</v>
      </c>
      <c r="I27" s="43">
        <v>0</v>
      </c>
      <c r="J27" s="121">
        <f>F27+G27+$H$27</f>
        <v>12.916700000000001</v>
      </c>
      <c r="K27" s="279">
        <f>E27*J27+E28*J28+E29*J29+E30*J30</f>
        <v>12.146700000000003</v>
      </c>
      <c r="L27" s="153">
        <f>Descrição!$F$93</f>
        <v>23.7</v>
      </c>
      <c r="M27" s="279">
        <f>L27/K27</f>
        <v>1.9511472251722686</v>
      </c>
      <c r="N27" s="266">
        <f>M27*C27</f>
        <v>1463.3604188792015</v>
      </c>
      <c r="O27" s="267">
        <f>SUM(N27:N30)</f>
        <v>1463.3604188792015</v>
      </c>
    </row>
    <row r="28" spans="1:18" x14ac:dyDescent="0.25">
      <c r="A28" s="270"/>
      <c r="B28" s="273"/>
      <c r="C28" s="276"/>
      <c r="D28" s="35" t="s">
        <v>67</v>
      </c>
      <c r="E28" s="36">
        <v>0.14000000000000001</v>
      </c>
      <c r="F28" s="37">
        <v>14</v>
      </c>
      <c r="G28" s="203">
        <v>3</v>
      </c>
      <c r="H28" s="239"/>
      <c r="I28" s="61">
        <v>0</v>
      </c>
      <c r="J28" s="63">
        <f t="shared" ref="J28:J86" si="7">F28+G28+$H$27</f>
        <v>17.916699999999999</v>
      </c>
      <c r="K28" s="241"/>
      <c r="L28" s="25">
        <f>Descrição!$F$93</f>
        <v>23.7</v>
      </c>
      <c r="M28" s="241"/>
      <c r="N28" s="243"/>
      <c r="O28" s="232"/>
    </row>
    <row r="29" spans="1:18" x14ac:dyDescent="0.25">
      <c r="A29" s="270"/>
      <c r="B29" s="274"/>
      <c r="C29" s="277"/>
      <c r="D29" s="82" t="s">
        <v>104</v>
      </c>
      <c r="E29" s="36">
        <v>7.0000000000000007E-2</v>
      </c>
      <c r="F29" s="37">
        <v>7</v>
      </c>
      <c r="G29" s="203">
        <v>3</v>
      </c>
      <c r="H29" s="239"/>
      <c r="I29" s="61">
        <v>0</v>
      </c>
      <c r="J29" s="63">
        <f t="shared" si="7"/>
        <v>10.916700000000001</v>
      </c>
      <c r="K29" s="241"/>
      <c r="L29" s="25">
        <f>Descrição!$F$93</f>
        <v>23.7</v>
      </c>
      <c r="M29" s="241"/>
      <c r="N29" s="243"/>
      <c r="O29" s="232"/>
      <c r="P29" s="268"/>
      <c r="Q29" s="268"/>
      <c r="R29" s="268"/>
    </row>
    <row r="30" spans="1:18" x14ac:dyDescent="0.25">
      <c r="A30" s="270"/>
      <c r="B30" s="171"/>
      <c r="C30" s="231"/>
      <c r="D30" s="86" t="s">
        <v>105</v>
      </c>
      <c r="E30" s="38">
        <v>0.19</v>
      </c>
      <c r="F30" s="39">
        <v>4</v>
      </c>
      <c r="G30" s="204">
        <v>1</v>
      </c>
      <c r="H30" s="253"/>
      <c r="I30" s="62">
        <v>0</v>
      </c>
      <c r="J30" s="81">
        <f t="shared" si="7"/>
        <v>5.9167000000000005</v>
      </c>
      <c r="K30" s="255"/>
      <c r="L30" s="143">
        <f>Descrição!$F$93</f>
        <v>23.7</v>
      </c>
      <c r="M30" s="255"/>
      <c r="N30" s="256"/>
      <c r="O30" s="246"/>
      <c r="P30" s="268"/>
      <c r="Q30" s="268"/>
      <c r="R30" s="268"/>
    </row>
    <row r="31" spans="1:18" x14ac:dyDescent="0.25">
      <c r="A31" s="270"/>
      <c r="B31" s="247" t="s">
        <v>20</v>
      </c>
      <c r="C31" s="263">
        <v>180</v>
      </c>
      <c r="D31" s="110" t="s">
        <v>66</v>
      </c>
      <c r="E31" s="97">
        <v>0.6</v>
      </c>
      <c r="F31" s="98">
        <v>10</v>
      </c>
      <c r="G31" s="205">
        <v>2</v>
      </c>
      <c r="H31" s="238">
        <f>SUM(Descrição!$E$9,Descrição!$E$11)</f>
        <v>0.91670000000000007</v>
      </c>
      <c r="I31" s="99">
        <v>0</v>
      </c>
      <c r="J31" s="118">
        <f>F31+G31+$H$27</f>
        <v>12.916700000000001</v>
      </c>
      <c r="K31" s="241">
        <f t="shared" ref="K31" si="8">E31*J31+E32*J32+E33*J33+E34*J34</f>
        <v>12.146700000000003</v>
      </c>
      <c r="L31" s="152">
        <f>Descrição!$F$93</f>
        <v>23.7</v>
      </c>
      <c r="M31" s="241">
        <f>L31/K31</f>
        <v>1.9511472251722686</v>
      </c>
      <c r="N31" s="243">
        <f>M31*C31</f>
        <v>351.20650053100832</v>
      </c>
      <c r="O31" s="245">
        <f t="shared" ref="O31" si="9">SUM(N31:N34)</f>
        <v>351.20650053100832</v>
      </c>
      <c r="P31" s="268"/>
      <c r="Q31" s="268"/>
      <c r="R31" s="268"/>
    </row>
    <row r="32" spans="1:18" x14ac:dyDescent="0.25">
      <c r="A32" s="270"/>
      <c r="B32" s="248"/>
      <c r="C32" s="264"/>
      <c r="D32" s="91" t="s">
        <v>67</v>
      </c>
      <c r="E32" s="92">
        <v>0.14000000000000001</v>
      </c>
      <c r="F32" s="93">
        <v>14</v>
      </c>
      <c r="G32" s="206">
        <v>3</v>
      </c>
      <c r="H32" s="239"/>
      <c r="I32" s="94">
        <v>0</v>
      </c>
      <c r="J32" s="95">
        <f t="shared" si="7"/>
        <v>17.916699999999999</v>
      </c>
      <c r="K32" s="241"/>
      <c r="L32" s="25">
        <f>Descrição!$F$93</f>
        <v>23.7</v>
      </c>
      <c r="M32" s="241"/>
      <c r="N32" s="243"/>
      <c r="O32" s="232"/>
      <c r="P32" s="268"/>
      <c r="Q32" s="268"/>
      <c r="R32" s="268"/>
    </row>
    <row r="33" spans="1:15" x14ac:dyDescent="0.25">
      <c r="A33" s="270"/>
      <c r="B33" s="248"/>
      <c r="C33" s="264"/>
      <c r="D33" s="101" t="s">
        <v>104</v>
      </c>
      <c r="E33" s="92">
        <v>7.0000000000000007E-2</v>
      </c>
      <c r="F33" s="93">
        <v>7</v>
      </c>
      <c r="G33" s="206">
        <v>3</v>
      </c>
      <c r="H33" s="239"/>
      <c r="I33" s="94">
        <v>0</v>
      </c>
      <c r="J33" s="95">
        <f t="shared" si="7"/>
        <v>10.916700000000001</v>
      </c>
      <c r="K33" s="241"/>
      <c r="L33" s="25">
        <f>Descrição!$F$93</f>
        <v>23.7</v>
      </c>
      <c r="M33" s="241"/>
      <c r="N33" s="243"/>
      <c r="O33" s="232"/>
    </row>
    <row r="34" spans="1:15" x14ac:dyDescent="0.25">
      <c r="A34" s="270"/>
      <c r="B34" s="249"/>
      <c r="C34" s="265"/>
      <c r="D34" s="113" t="s">
        <v>105</v>
      </c>
      <c r="E34" s="102">
        <v>0.19</v>
      </c>
      <c r="F34" s="103">
        <v>4</v>
      </c>
      <c r="G34" s="207">
        <v>1</v>
      </c>
      <c r="H34" s="253"/>
      <c r="I34" s="100">
        <v>0</v>
      </c>
      <c r="J34" s="104">
        <f t="shared" si="7"/>
        <v>5.9167000000000005</v>
      </c>
      <c r="K34" s="241"/>
      <c r="L34" s="143">
        <f>Descrição!$F$93</f>
        <v>23.7</v>
      </c>
      <c r="M34" s="241"/>
      <c r="N34" s="256"/>
      <c r="O34" s="246"/>
    </row>
    <row r="35" spans="1:15" x14ac:dyDescent="0.25">
      <c r="A35" s="270"/>
      <c r="B35" s="257" t="s">
        <v>22</v>
      </c>
      <c r="C35" s="263">
        <v>1250</v>
      </c>
      <c r="D35" s="31" t="s">
        <v>66</v>
      </c>
      <c r="E35" s="131">
        <v>0.6</v>
      </c>
      <c r="F35" s="33">
        <v>10</v>
      </c>
      <c r="G35" s="208">
        <v>2</v>
      </c>
      <c r="H35" s="238">
        <f>SUM(Descrição!$E$9,Descrição!$E$11)</f>
        <v>0.91670000000000007</v>
      </c>
      <c r="I35" s="34">
        <v>0</v>
      </c>
      <c r="J35" s="119">
        <f t="shared" si="7"/>
        <v>12.916700000000001</v>
      </c>
      <c r="K35" s="254">
        <f t="shared" ref="K35" si="10">E35*J35+E36*J36+E37*J37+E38*J38</f>
        <v>12.146700000000003</v>
      </c>
      <c r="L35" s="152">
        <f>Descrição!$F$93</f>
        <v>23.7</v>
      </c>
      <c r="M35" s="254">
        <f>L35/K35</f>
        <v>1.9511472251722686</v>
      </c>
      <c r="N35" s="262">
        <f>M35*C35</f>
        <v>2438.9340314653359</v>
      </c>
      <c r="O35" s="245">
        <f t="shared" ref="O35" si="11">SUM(N35:N38)</f>
        <v>2438.9340314653359</v>
      </c>
    </row>
    <row r="36" spans="1:15" x14ac:dyDescent="0.25">
      <c r="A36" s="270"/>
      <c r="B36" s="234"/>
      <c r="C36" s="264"/>
      <c r="D36" s="35" t="s">
        <v>67</v>
      </c>
      <c r="E36" s="132">
        <v>0.14000000000000001</v>
      </c>
      <c r="F36" s="37">
        <v>14</v>
      </c>
      <c r="G36" s="203">
        <v>3</v>
      </c>
      <c r="H36" s="239"/>
      <c r="I36" s="61">
        <v>0</v>
      </c>
      <c r="J36" s="63">
        <f t="shared" si="7"/>
        <v>17.916699999999999</v>
      </c>
      <c r="K36" s="241"/>
      <c r="L36" s="25">
        <f>Descrição!$F$93</f>
        <v>23.7</v>
      </c>
      <c r="M36" s="241"/>
      <c r="N36" s="243"/>
      <c r="O36" s="232"/>
    </row>
    <row r="37" spans="1:15" x14ac:dyDescent="0.25">
      <c r="A37" s="270"/>
      <c r="B37" s="234"/>
      <c r="C37" s="264"/>
      <c r="D37" s="35" t="s">
        <v>104</v>
      </c>
      <c r="E37" s="132">
        <v>7.0000000000000007E-2</v>
      </c>
      <c r="F37" s="37">
        <v>7</v>
      </c>
      <c r="G37" s="203">
        <v>3</v>
      </c>
      <c r="H37" s="239"/>
      <c r="I37" s="61">
        <v>0</v>
      </c>
      <c r="J37" s="63">
        <f t="shared" si="7"/>
        <v>10.916700000000001</v>
      </c>
      <c r="K37" s="241"/>
      <c r="L37" s="25">
        <f>Descrição!$F$93</f>
        <v>23.7</v>
      </c>
      <c r="M37" s="241"/>
      <c r="N37" s="243"/>
      <c r="O37" s="232"/>
    </row>
    <row r="38" spans="1:15" x14ac:dyDescent="0.25">
      <c r="A38" s="270"/>
      <c r="B38" s="258"/>
      <c r="C38" s="265"/>
      <c r="D38" s="86" t="s">
        <v>105</v>
      </c>
      <c r="E38" s="133">
        <v>0.19</v>
      </c>
      <c r="F38" s="83">
        <v>4</v>
      </c>
      <c r="G38" s="209">
        <v>1</v>
      </c>
      <c r="H38" s="253"/>
      <c r="I38" s="80">
        <v>0</v>
      </c>
      <c r="J38" s="84">
        <f t="shared" si="7"/>
        <v>5.9167000000000005</v>
      </c>
      <c r="K38" s="255"/>
      <c r="L38" s="26">
        <f>Descrição!$F$93</f>
        <v>23.7</v>
      </c>
      <c r="M38" s="241"/>
      <c r="N38" s="243"/>
      <c r="O38" s="246"/>
    </row>
    <row r="39" spans="1:15" x14ac:dyDescent="0.25">
      <c r="A39" s="270"/>
      <c r="B39" s="247" t="s">
        <v>23</v>
      </c>
      <c r="C39" s="263">
        <v>750</v>
      </c>
      <c r="D39" s="110" t="s">
        <v>66</v>
      </c>
      <c r="E39" s="134">
        <v>0.6</v>
      </c>
      <c r="F39" s="111">
        <v>10</v>
      </c>
      <c r="G39" s="210">
        <v>2</v>
      </c>
      <c r="H39" s="238">
        <f>SUM(Descrição!$E$9,Descrição!$E$11)</f>
        <v>0.91670000000000007</v>
      </c>
      <c r="I39" s="112">
        <v>0</v>
      </c>
      <c r="J39" s="120">
        <f t="shared" si="7"/>
        <v>12.916700000000001</v>
      </c>
      <c r="K39" s="241">
        <f t="shared" ref="K39" si="12">E39*J39+E40*J40+E41*J41+E42*J42</f>
        <v>12.146700000000003</v>
      </c>
      <c r="L39" s="151">
        <f>Descrição!$F$93</f>
        <v>23.7</v>
      </c>
      <c r="M39" s="254">
        <f>L39/K39</f>
        <v>1.9511472251722686</v>
      </c>
      <c r="N39" s="262">
        <f>M39*C39</f>
        <v>1463.3604188792015</v>
      </c>
      <c r="O39" s="245">
        <f t="shared" ref="O39" si="13">SUM(N39:N42)</f>
        <v>1463.3604188792015</v>
      </c>
    </row>
    <row r="40" spans="1:15" x14ac:dyDescent="0.25">
      <c r="A40" s="270"/>
      <c r="B40" s="248"/>
      <c r="C40" s="264"/>
      <c r="D40" s="91" t="s">
        <v>67</v>
      </c>
      <c r="E40" s="135">
        <v>0.14000000000000001</v>
      </c>
      <c r="F40" s="93">
        <v>14</v>
      </c>
      <c r="G40" s="206">
        <v>3</v>
      </c>
      <c r="H40" s="239"/>
      <c r="I40" s="94">
        <v>0</v>
      </c>
      <c r="J40" s="95">
        <f t="shared" si="7"/>
        <v>17.916699999999999</v>
      </c>
      <c r="K40" s="241"/>
      <c r="L40" s="25">
        <f>Descrição!$F$93</f>
        <v>23.7</v>
      </c>
      <c r="M40" s="241"/>
      <c r="N40" s="243"/>
      <c r="O40" s="232"/>
    </row>
    <row r="41" spans="1:15" x14ac:dyDescent="0.25">
      <c r="A41" s="270"/>
      <c r="B41" s="248"/>
      <c r="C41" s="264"/>
      <c r="D41" s="91" t="s">
        <v>104</v>
      </c>
      <c r="E41" s="135">
        <v>7.0000000000000007E-2</v>
      </c>
      <c r="F41" s="93">
        <v>7</v>
      </c>
      <c r="G41" s="206">
        <v>3</v>
      </c>
      <c r="H41" s="239"/>
      <c r="I41" s="94">
        <v>0</v>
      </c>
      <c r="J41" s="95">
        <f t="shared" si="7"/>
        <v>10.916700000000001</v>
      </c>
      <c r="K41" s="241"/>
      <c r="L41" s="25">
        <f>Descrição!$F$93</f>
        <v>23.7</v>
      </c>
      <c r="M41" s="241"/>
      <c r="N41" s="243"/>
      <c r="O41" s="232"/>
    </row>
    <row r="42" spans="1:15" x14ac:dyDescent="0.25">
      <c r="A42" s="270"/>
      <c r="B42" s="249"/>
      <c r="C42" s="265"/>
      <c r="D42" s="113" t="s">
        <v>105</v>
      </c>
      <c r="E42" s="136">
        <v>0.19</v>
      </c>
      <c r="F42" s="115">
        <v>4</v>
      </c>
      <c r="G42" s="211">
        <v>1</v>
      </c>
      <c r="H42" s="253"/>
      <c r="I42" s="116">
        <v>0</v>
      </c>
      <c r="J42" s="117">
        <f t="shared" si="7"/>
        <v>5.9167000000000005</v>
      </c>
      <c r="K42" s="241"/>
      <c r="L42" s="26">
        <f>Descrição!$F$93</f>
        <v>23.7</v>
      </c>
      <c r="M42" s="255"/>
      <c r="N42" s="256"/>
      <c r="O42" s="246"/>
    </row>
    <row r="43" spans="1:15" x14ac:dyDescent="0.25">
      <c r="A43" s="270"/>
      <c r="B43" s="257" t="s">
        <v>25</v>
      </c>
      <c r="C43" s="263">
        <v>200</v>
      </c>
      <c r="D43" s="31" t="s">
        <v>66</v>
      </c>
      <c r="E43" s="137">
        <v>0.6</v>
      </c>
      <c r="F43" s="107">
        <v>10</v>
      </c>
      <c r="G43" s="212">
        <v>2</v>
      </c>
      <c r="H43" s="238">
        <f>SUM(Descrição!$E$9,Descrição!$E$11)</f>
        <v>0.91670000000000007</v>
      </c>
      <c r="I43" s="108">
        <v>0</v>
      </c>
      <c r="J43" s="109">
        <f t="shared" si="7"/>
        <v>12.916700000000001</v>
      </c>
      <c r="K43" s="254">
        <f t="shared" ref="K43" si="14">E43*J43+E44*J44+E45*J45+E46*J46</f>
        <v>12.146700000000003</v>
      </c>
      <c r="L43" s="151">
        <f>Descrição!$F$93</f>
        <v>23.7</v>
      </c>
      <c r="M43" s="241">
        <f>L43/K43</f>
        <v>1.9511472251722686</v>
      </c>
      <c r="N43" s="243">
        <f>M43*C43</f>
        <v>390.2294450344537</v>
      </c>
      <c r="O43" s="245">
        <f t="shared" ref="O43" si="15">SUM(N43:N46)</f>
        <v>390.2294450344537</v>
      </c>
    </row>
    <row r="44" spans="1:15" x14ac:dyDescent="0.25">
      <c r="A44" s="270"/>
      <c r="B44" s="234"/>
      <c r="C44" s="264"/>
      <c r="D44" s="35" t="s">
        <v>67</v>
      </c>
      <c r="E44" s="132">
        <v>0.14000000000000001</v>
      </c>
      <c r="F44" s="37">
        <v>14</v>
      </c>
      <c r="G44" s="203">
        <v>3</v>
      </c>
      <c r="H44" s="239"/>
      <c r="I44" s="61">
        <v>0</v>
      </c>
      <c r="J44" s="63">
        <f t="shared" si="7"/>
        <v>17.916699999999999</v>
      </c>
      <c r="K44" s="241"/>
      <c r="L44" s="25">
        <f>Descrição!$F$93</f>
        <v>23.7</v>
      </c>
      <c r="M44" s="241"/>
      <c r="N44" s="243"/>
      <c r="O44" s="232"/>
    </row>
    <row r="45" spans="1:15" x14ac:dyDescent="0.25">
      <c r="A45" s="270"/>
      <c r="B45" s="234"/>
      <c r="C45" s="264"/>
      <c r="D45" s="35" t="s">
        <v>104</v>
      </c>
      <c r="E45" s="132">
        <v>7.0000000000000007E-2</v>
      </c>
      <c r="F45" s="37">
        <v>7</v>
      </c>
      <c r="G45" s="203">
        <v>3</v>
      </c>
      <c r="H45" s="239"/>
      <c r="I45" s="61">
        <v>0</v>
      </c>
      <c r="J45" s="63">
        <f t="shared" si="7"/>
        <v>10.916700000000001</v>
      </c>
      <c r="K45" s="241"/>
      <c r="L45" s="25">
        <f>Descrição!$F$93</f>
        <v>23.7</v>
      </c>
      <c r="M45" s="241"/>
      <c r="N45" s="243"/>
      <c r="O45" s="232"/>
    </row>
    <row r="46" spans="1:15" x14ac:dyDescent="0.25">
      <c r="A46" s="270"/>
      <c r="B46" s="258"/>
      <c r="C46" s="265"/>
      <c r="D46" s="86" t="s">
        <v>105</v>
      </c>
      <c r="E46" s="138">
        <v>0.19</v>
      </c>
      <c r="F46" s="39">
        <v>4</v>
      </c>
      <c r="G46" s="204">
        <v>1</v>
      </c>
      <c r="H46" s="253"/>
      <c r="I46" s="62">
        <v>0</v>
      </c>
      <c r="J46" s="81">
        <f t="shared" si="7"/>
        <v>5.9167000000000005</v>
      </c>
      <c r="K46" s="255"/>
      <c r="L46" s="143">
        <f>Descrição!$F$93</f>
        <v>23.7</v>
      </c>
      <c r="M46" s="255"/>
      <c r="N46" s="256"/>
      <c r="O46" s="246"/>
    </row>
    <row r="47" spans="1:15" x14ac:dyDescent="0.25">
      <c r="A47" s="270"/>
      <c r="B47" s="247" t="s">
        <v>26</v>
      </c>
      <c r="C47" s="263">
        <v>400</v>
      </c>
      <c r="D47" s="110" t="s">
        <v>66</v>
      </c>
      <c r="E47" s="134">
        <v>0.6</v>
      </c>
      <c r="F47" s="98">
        <v>10</v>
      </c>
      <c r="G47" s="210">
        <v>2</v>
      </c>
      <c r="H47" s="238">
        <f>SUM(Descrição!$E$9,Descrição!$E$11)</f>
        <v>0.91670000000000007</v>
      </c>
      <c r="I47" s="112">
        <v>0</v>
      </c>
      <c r="J47" s="120">
        <f t="shared" si="7"/>
        <v>12.916700000000001</v>
      </c>
      <c r="K47" s="241">
        <f t="shared" ref="K47" si="16">E47*J47+E48*J48+E49*J49+E50*J50</f>
        <v>12.146700000000003</v>
      </c>
      <c r="L47" s="77">
        <f>Descrição!$F$93</f>
        <v>23.7</v>
      </c>
      <c r="M47" s="254">
        <f>L47/K47</f>
        <v>1.9511472251722686</v>
      </c>
      <c r="N47" s="262">
        <f>M47*C47</f>
        <v>780.45889006890741</v>
      </c>
      <c r="O47" s="245">
        <f t="shared" ref="O47" si="17">SUM(N47:N50)</f>
        <v>780.45889006890741</v>
      </c>
    </row>
    <row r="48" spans="1:15" x14ac:dyDescent="0.25">
      <c r="A48" s="270"/>
      <c r="B48" s="248"/>
      <c r="C48" s="264"/>
      <c r="D48" s="91" t="s">
        <v>67</v>
      </c>
      <c r="E48" s="135">
        <v>0.14000000000000001</v>
      </c>
      <c r="F48" s="93">
        <v>14</v>
      </c>
      <c r="G48" s="206">
        <v>3</v>
      </c>
      <c r="H48" s="239"/>
      <c r="I48" s="94">
        <v>0</v>
      </c>
      <c r="J48" s="95">
        <f t="shared" si="7"/>
        <v>17.916699999999999</v>
      </c>
      <c r="K48" s="241"/>
      <c r="L48" s="27">
        <f>Descrição!$F$93</f>
        <v>23.7</v>
      </c>
      <c r="M48" s="241"/>
      <c r="N48" s="243"/>
      <c r="O48" s="232"/>
    </row>
    <row r="49" spans="1:15" x14ac:dyDescent="0.25">
      <c r="A49" s="270"/>
      <c r="B49" s="248"/>
      <c r="C49" s="264"/>
      <c r="D49" s="91" t="s">
        <v>104</v>
      </c>
      <c r="E49" s="135">
        <v>7.0000000000000007E-2</v>
      </c>
      <c r="F49" s="93">
        <v>7</v>
      </c>
      <c r="G49" s="206">
        <v>3</v>
      </c>
      <c r="H49" s="239"/>
      <c r="I49" s="94">
        <v>0</v>
      </c>
      <c r="J49" s="95">
        <f t="shared" si="7"/>
        <v>10.916700000000001</v>
      </c>
      <c r="K49" s="241"/>
      <c r="L49" s="25">
        <f>Descrição!$F$93</f>
        <v>23.7</v>
      </c>
      <c r="M49" s="241"/>
      <c r="N49" s="243"/>
      <c r="O49" s="232"/>
    </row>
    <row r="50" spans="1:15" x14ac:dyDescent="0.25">
      <c r="A50" s="270"/>
      <c r="B50" s="249"/>
      <c r="C50" s="265"/>
      <c r="D50" s="113" t="s">
        <v>105</v>
      </c>
      <c r="E50" s="136">
        <v>0.19</v>
      </c>
      <c r="F50" s="103">
        <v>4</v>
      </c>
      <c r="G50" s="211">
        <v>1</v>
      </c>
      <c r="H50" s="253"/>
      <c r="I50" s="116">
        <v>0</v>
      </c>
      <c r="J50" s="117">
        <f t="shared" si="7"/>
        <v>5.9167000000000005</v>
      </c>
      <c r="K50" s="241"/>
      <c r="L50" s="26">
        <f>Descrição!$F$93</f>
        <v>23.7</v>
      </c>
      <c r="M50" s="255"/>
      <c r="N50" s="256"/>
      <c r="O50" s="246"/>
    </row>
    <row r="51" spans="1:15" x14ac:dyDescent="0.25">
      <c r="A51" s="270"/>
      <c r="B51" s="257" t="s">
        <v>27</v>
      </c>
      <c r="C51" s="263">
        <v>600</v>
      </c>
      <c r="D51" s="31" t="s">
        <v>66</v>
      </c>
      <c r="E51" s="137">
        <v>0.6</v>
      </c>
      <c r="F51" s="33">
        <v>10</v>
      </c>
      <c r="G51" s="212">
        <v>2</v>
      </c>
      <c r="H51" s="238">
        <f>SUM(Descrição!$E$9,Descrição!$E$11)</f>
        <v>0.91670000000000007</v>
      </c>
      <c r="I51" s="108">
        <v>0</v>
      </c>
      <c r="J51" s="109">
        <f t="shared" si="7"/>
        <v>12.916700000000001</v>
      </c>
      <c r="K51" s="254">
        <f t="shared" ref="K51" si="18">E51*J51+E52*J52+E53*J53+E54*J54</f>
        <v>12.019400000000003</v>
      </c>
      <c r="L51" s="151">
        <f>Descrição!$F$93</f>
        <v>23.7</v>
      </c>
      <c r="M51" s="241">
        <f>L51/K51</f>
        <v>1.9718122368837041</v>
      </c>
      <c r="N51" s="243">
        <f>M51*C51</f>
        <v>1183.0873421302224</v>
      </c>
      <c r="O51" s="245">
        <f t="shared" ref="O51" si="19">SUM(N51:N54)</f>
        <v>1183.0873421302224</v>
      </c>
    </row>
    <row r="52" spans="1:15" x14ac:dyDescent="0.25">
      <c r="A52" s="270"/>
      <c r="B52" s="234"/>
      <c r="C52" s="264"/>
      <c r="D52" s="35" t="s">
        <v>67</v>
      </c>
      <c r="E52" s="132">
        <v>0.14000000000000001</v>
      </c>
      <c r="F52" s="37">
        <v>14</v>
      </c>
      <c r="G52" s="203">
        <v>3</v>
      </c>
      <c r="H52" s="239"/>
      <c r="I52" s="61">
        <v>0</v>
      </c>
      <c r="J52" s="63">
        <f t="shared" si="7"/>
        <v>17.916699999999999</v>
      </c>
      <c r="K52" s="241"/>
      <c r="L52" s="25">
        <f>Descrição!$F$93</f>
        <v>23.7</v>
      </c>
      <c r="M52" s="241"/>
      <c r="N52" s="243"/>
      <c r="O52" s="232"/>
    </row>
    <row r="53" spans="1:15" x14ac:dyDescent="0.25">
      <c r="A53" s="270"/>
      <c r="B53" s="234"/>
      <c r="C53" s="264"/>
      <c r="D53" s="35" t="s">
        <v>104</v>
      </c>
      <c r="E53" s="132">
        <v>7.0000000000000007E-2</v>
      </c>
      <c r="F53" s="37">
        <v>7</v>
      </c>
      <c r="G53" s="203">
        <v>3</v>
      </c>
      <c r="H53" s="239"/>
      <c r="I53" s="61">
        <v>0</v>
      </c>
      <c r="J53" s="63">
        <f t="shared" si="7"/>
        <v>10.916700000000001</v>
      </c>
      <c r="K53" s="241"/>
      <c r="L53" s="25">
        <f>Descrição!$F$93</f>
        <v>23.7</v>
      </c>
      <c r="M53" s="241"/>
      <c r="N53" s="243"/>
      <c r="O53" s="232"/>
    </row>
    <row r="54" spans="1:15" x14ac:dyDescent="0.25">
      <c r="A54" s="270"/>
      <c r="B54" s="258"/>
      <c r="C54" s="265"/>
      <c r="D54" s="86" t="s">
        <v>105</v>
      </c>
      <c r="E54" s="138">
        <v>0.19</v>
      </c>
      <c r="F54" s="83">
        <v>4</v>
      </c>
      <c r="G54" s="204">
        <v>0.33</v>
      </c>
      <c r="H54" s="253"/>
      <c r="I54" s="62">
        <v>0</v>
      </c>
      <c r="J54" s="81">
        <f t="shared" si="7"/>
        <v>5.2467000000000006</v>
      </c>
      <c r="K54" s="255"/>
      <c r="L54" s="26">
        <f>Descrição!$F$93</f>
        <v>23.7</v>
      </c>
      <c r="M54" s="255"/>
      <c r="N54" s="256"/>
      <c r="O54" s="246"/>
    </row>
    <row r="55" spans="1:15" ht="14.25" customHeight="1" x14ac:dyDescent="0.25">
      <c r="A55" s="270"/>
      <c r="B55" s="247" t="s">
        <v>28</v>
      </c>
      <c r="C55" s="263">
        <v>1250</v>
      </c>
      <c r="D55" s="110" t="s">
        <v>66</v>
      </c>
      <c r="E55" s="139">
        <v>0.6</v>
      </c>
      <c r="F55" s="111">
        <v>10</v>
      </c>
      <c r="G55" s="205">
        <v>2</v>
      </c>
      <c r="H55" s="238">
        <f>SUM(Descrição!$E$9,Descrição!$E$11)</f>
        <v>0.91670000000000007</v>
      </c>
      <c r="I55" s="99">
        <v>0</v>
      </c>
      <c r="J55" s="118">
        <f t="shared" si="7"/>
        <v>12.916700000000001</v>
      </c>
      <c r="K55" s="241">
        <f t="shared" ref="K55" si="20">E55*J55+E56*J56+E57*J57+E58*J58</f>
        <v>12.146700000000003</v>
      </c>
      <c r="L55" s="151">
        <f>Descrição!$F$93</f>
        <v>23.7</v>
      </c>
      <c r="M55" s="241">
        <f>L55/K55</f>
        <v>1.9511472251722686</v>
      </c>
      <c r="N55" s="243">
        <f>M55*C55</f>
        <v>2438.9340314653359</v>
      </c>
      <c r="O55" s="245">
        <f t="shared" ref="O55" si="21">SUM(N55:N58)</f>
        <v>2438.9340314653359</v>
      </c>
    </row>
    <row r="56" spans="1:15" ht="14.25" customHeight="1" x14ac:dyDescent="0.25">
      <c r="A56" s="270"/>
      <c r="B56" s="248"/>
      <c r="C56" s="264"/>
      <c r="D56" s="91" t="s">
        <v>67</v>
      </c>
      <c r="E56" s="135">
        <v>0.14000000000000001</v>
      </c>
      <c r="F56" s="93">
        <v>14</v>
      </c>
      <c r="G56" s="206">
        <v>3</v>
      </c>
      <c r="H56" s="239"/>
      <c r="I56" s="94">
        <v>0</v>
      </c>
      <c r="J56" s="95">
        <f t="shared" si="7"/>
        <v>17.916699999999999</v>
      </c>
      <c r="K56" s="241"/>
      <c r="L56" s="25">
        <f>Descrição!$F$93</f>
        <v>23.7</v>
      </c>
      <c r="M56" s="241"/>
      <c r="N56" s="243"/>
      <c r="O56" s="232"/>
    </row>
    <row r="57" spans="1:15" x14ac:dyDescent="0.25">
      <c r="A57" s="270"/>
      <c r="B57" s="248"/>
      <c r="C57" s="264"/>
      <c r="D57" s="91" t="s">
        <v>104</v>
      </c>
      <c r="E57" s="135">
        <v>7.0000000000000007E-2</v>
      </c>
      <c r="F57" s="93">
        <v>7</v>
      </c>
      <c r="G57" s="206">
        <v>3</v>
      </c>
      <c r="H57" s="239"/>
      <c r="I57" s="94">
        <v>0</v>
      </c>
      <c r="J57" s="95">
        <f t="shared" si="7"/>
        <v>10.916700000000001</v>
      </c>
      <c r="K57" s="241"/>
      <c r="L57" s="25">
        <f>Descrição!$F$93</f>
        <v>23.7</v>
      </c>
      <c r="M57" s="241"/>
      <c r="N57" s="243"/>
      <c r="O57" s="232"/>
    </row>
    <row r="58" spans="1:15" x14ac:dyDescent="0.25">
      <c r="A58" s="270"/>
      <c r="B58" s="249"/>
      <c r="C58" s="265"/>
      <c r="D58" s="113" t="s">
        <v>105</v>
      </c>
      <c r="E58" s="136">
        <v>0.19</v>
      </c>
      <c r="F58" s="115">
        <v>4</v>
      </c>
      <c r="G58" s="211">
        <v>1</v>
      </c>
      <c r="H58" s="253"/>
      <c r="I58" s="116">
        <v>0</v>
      </c>
      <c r="J58" s="117">
        <f t="shared" si="7"/>
        <v>5.9167000000000005</v>
      </c>
      <c r="K58" s="241"/>
      <c r="L58" s="143">
        <f>Descrição!$F$93</f>
        <v>23.7</v>
      </c>
      <c r="M58" s="255"/>
      <c r="N58" s="256"/>
      <c r="O58" s="246"/>
    </row>
    <row r="59" spans="1:15" x14ac:dyDescent="0.25">
      <c r="A59" s="270"/>
      <c r="B59" s="257" t="s">
        <v>29</v>
      </c>
      <c r="C59" s="263">
        <v>1250</v>
      </c>
      <c r="D59" s="31" t="s">
        <v>66</v>
      </c>
      <c r="E59" s="137">
        <v>0.6</v>
      </c>
      <c r="F59" s="107">
        <v>10</v>
      </c>
      <c r="G59" s="212">
        <v>2</v>
      </c>
      <c r="H59" s="238">
        <f>SUM(Descrição!$E$9,Descrição!$E$11)</f>
        <v>0.91670000000000007</v>
      </c>
      <c r="I59" s="108">
        <v>0</v>
      </c>
      <c r="J59" s="109">
        <f t="shared" si="7"/>
        <v>12.916700000000001</v>
      </c>
      <c r="K59" s="254">
        <f t="shared" ref="K59" si="22">E59*J59+E60*J60+E61*J61+E62*J62</f>
        <v>12.146700000000003</v>
      </c>
      <c r="L59" s="152">
        <f>Descrição!$F$93</f>
        <v>23.7</v>
      </c>
      <c r="M59" s="241">
        <f>L59/K59</f>
        <v>1.9511472251722686</v>
      </c>
      <c r="N59" s="243">
        <f>M59*C59</f>
        <v>2438.9340314653359</v>
      </c>
      <c r="O59" s="245">
        <f t="shared" ref="O59" si="23">SUM(N59:N62)</f>
        <v>2438.9340314653359</v>
      </c>
    </row>
    <row r="60" spans="1:15" x14ac:dyDescent="0.25">
      <c r="A60" s="270"/>
      <c r="B60" s="234"/>
      <c r="C60" s="264"/>
      <c r="D60" s="35" t="s">
        <v>67</v>
      </c>
      <c r="E60" s="132">
        <v>0.14000000000000001</v>
      </c>
      <c r="F60" s="37">
        <v>14</v>
      </c>
      <c r="G60" s="203">
        <v>3</v>
      </c>
      <c r="H60" s="239"/>
      <c r="I60" s="61">
        <v>0</v>
      </c>
      <c r="J60" s="63">
        <f t="shared" si="7"/>
        <v>17.916699999999999</v>
      </c>
      <c r="K60" s="241"/>
      <c r="L60" s="25">
        <f>Descrição!$F$93</f>
        <v>23.7</v>
      </c>
      <c r="M60" s="241"/>
      <c r="N60" s="243"/>
      <c r="O60" s="232"/>
    </row>
    <row r="61" spans="1:15" x14ac:dyDescent="0.25">
      <c r="A61" s="270"/>
      <c r="B61" s="234"/>
      <c r="C61" s="264"/>
      <c r="D61" s="35" t="s">
        <v>104</v>
      </c>
      <c r="E61" s="132">
        <v>7.0000000000000007E-2</v>
      </c>
      <c r="F61" s="37">
        <v>7</v>
      </c>
      <c r="G61" s="203">
        <v>3</v>
      </c>
      <c r="H61" s="239"/>
      <c r="I61" s="61">
        <v>0</v>
      </c>
      <c r="J61" s="63">
        <f t="shared" si="7"/>
        <v>10.916700000000001</v>
      </c>
      <c r="K61" s="241"/>
      <c r="L61" s="25">
        <f>Descrição!$F$93</f>
        <v>23.7</v>
      </c>
      <c r="M61" s="241"/>
      <c r="N61" s="243"/>
      <c r="O61" s="232"/>
    </row>
    <row r="62" spans="1:15" x14ac:dyDescent="0.25">
      <c r="A62" s="270"/>
      <c r="B62" s="258"/>
      <c r="C62" s="265"/>
      <c r="D62" s="86" t="s">
        <v>105</v>
      </c>
      <c r="E62" s="138">
        <v>0.19</v>
      </c>
      <c r="F62" s="39">
        <v>4</v>
      </c>
      <c r="G62" s="204">
        <v>1</v>
      </c>
      <c r="H62" s="253"/>
      <c r="I62" s="62">
        <v>0</v>
      </c>
      <c r="J62" s="81">
        <f t="shared" si="7"/>
        <v>5.9167000000000005</v>
      </c>
      <c r="K62" s="255"/>
      <c r="L62" s="143">
        <f>Descrição!$F$93</f>
        <v>23.7</v>
      </c>
      <c r="M62" s="255"/>
      <c r="N62" s="256"/>
      <c r="O62" s="246"/>
    </row>
    <row r="63" spans="1:15" x14ac:dyDescent="0.25">
      <c r="A63" s="270"/>
      <c r="B63" s="247" t="s">
        <v>32</v>
      </c>
      <c r="C63" s="263">
        <v>300</v>
      </c>
      <c r="D63" s="110" t="s">
        <v>66</v>
      </c>
      <c r="E63" s="139">
        <v>0.6</v>
      </c>
      <c r="F63" s="98">
        <v>10</v>
      </c>
      <c r="G63" s="205">
        <v>2</v>
      </c>
      <c r="H63" s="238">
        <f>SUM(Descrição!$E$9,Descrição!$E$11)</f>
        <v>0.91670000000000007</v>
      </c>
      <c r="I63" s="99">
        <v>0</v>
      </c>
      <c r="J63" s="118">
        <f t="shared" si="7"/>
        <v>12.916700000000001</v>
      </c>
      <c r="K63" s="254">
        <f t="shared" ref="K63" si="24">E63*J63+E64*J64+E65*J65+E66*J66</f>
        <v>12.146700000000003</v>
      </c>
      <c r="L63" s="152">
        <f>Descrição!$F$93</f>
        <v>23.7</v>
      </c>
      <c r="M63" s="241">
        <f>L63/K63</f>
        <v>1.9511472251722686</v>
      </c>
      <c r="N63" s="243">
        <f>M63*C63</f>
        <v>585.34416755168058</v>
      </c>
      <c r="O63" s="245">
        <f t="shared" ref="O63" si="25">SUM(N63:N66)</f>
        <v>585.34416755168058</v>
      </c>
    </row>
    <row r="64" spans="1:15" x14ac:dyDescent="0.25">
      <c r="A64" s="270"/>
      <c r="B64" s="248"/>
      <c r="C64" s="264"/>
      <c r="D64" s="91" t="s">
        <v>67</v>
      </c>
      <c r="E64" s="135">
        <v>0.14000000000000001</v>
      </c>
      <c r="F64" s="93">
        <v>14</v>
      </c>
      <c r="G64" s="206">
        <v>3</v>
      </c>
      <c r="H64" s="239"/>
      <c r="I64" s="94">
        <v>0</v>
      </c>
      <c r="J64" s="95">
        <f t="shared" si="7"/>
        <v>17.916699999999999</v>
      </c>
      <c r="K64" s="241"/>
      <c r="L64" s="25">
        <f>Descrição!$F$93</f>
        <v>23.7</v>
      </c>
      <c r="M64" s="241"/>
      <c r="N64" s="243"/>
      <c r="O64" s="232"/>
    </row>
    <row r="65" spans="1:15" x14ac:dyDescent="0.25">
      <c r="A65" s="270"/>
      <c r="B65" s="248"/>
      <c r="C65" s="264"/>
      <c r="D65" s="91" t="s">
        <v>104</v>
      </c>
      <c r="E65" s="135">
        <v>7.0000000000000007E-2</v>
      </c>
      <c r="F65" s="93">
        <v>7</v>
      </c>
      <c r="G65" s="206">
        <v>3</v>
      </c>
      <c r="H65" s="239"/>
      <c r="I65" s="94">
        <v>0</v>
      </c>
      <c r="J65" s="95">
        <f t="shared" si="7"/>
        <v>10.916700000000001</v>
      </c>
      <c r="K65" s="241"/>
      <c r="L65" s="25">
        <f>Descrição!$F$93</f>
        <v>23.7</v>
      </c>
      <c r="M65" s="241"/>
      <c r="N65" s="243"/>
      <c r="O65" s="232"/>
    </row>
    <row r="66" spans="1:15" x14ac:dyDescent="0.25">
      <c r="A66" s="270"/>
      <c r="B66" s="249"/>
      <c r="C66" s="265"/>
      <c r="D66" s="113" t="s">
        <v>105</v>
      </c>
      <c r="E66" s="136">
        <v>0.19</v>
      </c>
      <c r="F66" s="103">
        <v>4</v>
      </c>
      <c r="G66" s="211">
        <v>1</v>
      </c>
      <c r="H66" s="253"/>
      <c r="I66" s="116">
        <v>0</v>
      </c>
      <c r="J66" s="117">
        <f t="shared" si="7"/>
        <v>5.9167000000000005</v>
      </c>
      <c r="K66" s="255"/>
      <c r="L66" s="143">
        <f>Descrição!$F$93</f>
        <v>23.7</v>
      </c>
      <c r="M66" s="255"/>
      <c r="N66" s="256"/>
      <c r="O66" s="246"/>
    </row>
    <row r="67" spans="1:15" x14ac:dyDescent="0.25">
      <c r="A67" s="270"/>
      <c r="B67" s="234" t="s">
        <v>34</v>
      </c>
      <c r="C67" s="263">
        <v>350</v>
      </c>
      <c r="D67" s="105" t="s">
        <v>66</v>
      </c>
      <c r="E67" s="137">
        <v>0.6</v>
      </c>
      <c r="F67" s="33">
        <v>10</v>
      </c>
      <c r="G67" s="212">
        <v>2</v>
      </c>
      <c r="H67" s="238">
        <f>SUM(Descrição!$E$9,Descrição!$E$11)</f>
        <v>0.91670000000000007</v>
      </c>
      <c r="I67" s="108">
        <v>0</v>
      </c>
      <c r="J67" s="109">
        <f t="shared" si="7"/>
        <v>12.916700000000001</v>
      </c>
      <c r="K67" s="241">
        <f t="shared" ref="K67" si="26">E67*J67+E68*J68+E69*J69+E70*J70</f>
        <v>12.146700000000003</v>
      </c>
      <c r="L67" s="152">
        <f>Descrição!$F$93</f>
        <v>23.7</v>
      </c>
      <c r="M67" s="241">
        <f>L67/K67</f>
        <v>1.9511472251722686</v>
      </c>
      <c r="N67" s="243">
        <f>M67*C67</f>
        <v>682.90152881029405</v>
      </c>
      <c r="O67" s="245">
        <f t="shared" ref="O67" si="27">SUM(N67:N70)</f>
        <v>682.90152881029405</v>
      </c>
    </row>
    <row r="68" spans="1:15" x14ac:dyDescent="0.25">
      <c r="A68" s="270"/>
      <c r="B68" s="234"/>
      <c r="C68" s="264"/>
      <c r="D68" s="35" t="s">
        <v>67</v>
      </c>
      <c r="E68" s="132">
        <v>0.14000000000000001</v>
      </c>
      <c r="F68" s="37">
        <v>14</v>
      </c>
      <c r="G68" s="203">
        <v>3</v>
      </c>
      <c r="H68" s="239"/>
      <c r="I68" s="61">
        <v>0</v>
      </c>
      <c r="J68" s="63">
        <f t="shared" si="7"/>
        <v>17.916699999999999</v>
      </c>
      <c r="K68" s="241"/>
      <c r="L68" s="25">
        <f>Descrição!$F$93</f>
        <v>23.7</v>
      </c>
      <c r="M68" s="241"/>
      <c r="N68" s="243"/>
      <c r="O68" s="232"/>
    </row>
    <row r="69" spans="1:15" x14ac:dyDescent="0.25">
      <c r="A69" s="270"/>
      <c r="B69" s="234"/>
      <c r="C69" s="264"/>
      <c r="D69" s="35" t="s">
        <v>104</v>
      </c>
      <c r="E69" s="132">
        <v>7.0000000000000007E-2</v>
      </c>
      <c r="F69" s="37">
        <v>7</v>
      </c>
      <c r="G69" s="203">
        <v>3</v>
      </c>
      <c r="H69" s="239"/>
      <c r="I69" s="61">
        <v>0</v>
      </c>
      <c r="J69" s="63">
        <f t="shared" si="7"/>
        <v>10.916700000000001</v>
      </c>
      <c r="K69" s="241"/>
      <c r="L69" s="25">
        <f>Descrição!$F$93</f>
        <v>23.7</v>
      </c>
      <c r="M69" s="241"/>
      <c r="N69" s="243"/>
      <c r="O69" s="232"/>
    </row>
    <row r="70" spans="1:15" x14ac:dyDescent="0.25">
      <c r="A70" s="270"/>
      <c r="B70" s="258"/>
      <c r="C70" s="265"/>
      <c r="D70" s="86" t="s">
        <v>105</v>
      </c>
      <c r="E70" s="38">
        <v>0.19</v>
      </c>
      <c r="F70" s="83">
        <v>4</v>
      </c>
      <c r="G70" s="204">
        <v>1</v>
      </c>
      <c r="H70" s="253"/>
      <c r="I70" s="62">
        <v>0</v>
      </c>
      <c r="J70" s="81">
        <f t="shared" si="7"/>
        <v>5.9167000000000005</v>
      </c>
      <c r="K70" s="241"/>
      <c r="L70" s="26">
        <f>Descrição!$F$93</f>
        <v>23.7</v>
      </c>
      <c r="M70" s="255"/>
      <c r="N70" s="256"/>
      <c r="O70" s="246"/>
    </row>
    <row r="71" spans="1:15" x14ac:dyDescent="0.25">
      <c r="A71" s="270"/>
      <c r="B71" s="247" t="s">
        <v>41</v>
      </c>
      <c r="C71" s="250">
        <v>940</v>
      </c>
      <c r="D71" s="96" t="s">
        <v>66</v>
      </c>
      <c r="E71" s="97">
        <v>0.6</v>
      </c>
      <c r="F71" s="111">
        <v>10</v>
      </c>
      <c r="G71" s="205">
        <v>2</v>
      </c>
      <c r="H71" s="238">
        <f>SUM(Descrição!$E$9,Descrição!$E$11)</f>
        <v>0.91670000000000007</v>
      </c>
      <c r="I71" s="99">
        <v>0</v>
      </c>
      <c r="J71" s="118">
        <f t="shared" si="7"/>
        <v>12.916700000000001</v>
      </c>
      <c r="K71" s="254">
        <f t="shared" ref="K71" si="28">E71*J71+E72*J72+E73*J73+E74*J74</f>
        <v>12.146700000000003</v>
      </c>
      <c r="L71" s="151">
        <f>Descrição!$F$93</f>
        <v>23.7</v>
      </c>
      <c r="M71" s="241">
        <f>L71/K71</f>
        <v>1.9511472251722686</v>
      </c>
      <c r="N71" s="243">
        <f>M71*C71</f>
        <v>1834.0783916619325</v>
      </c>
      <c r="O71" s="245">
        <f t="shared" ref="O71" si="29">SUM(N71:N74)</f>
        <v>1834.0783916619325</v>
      </c>
    </row>
    <row r="72" spans="1:15" x14ac:dyDescent="0.25">
      <c r="A72" s="270"/>
      <c r="B72" s="248"/>
      <c r="C72" s="251"/>
      <c r="D72" s="91" t="s">
        <v>67</v>
      </c>
      <c r="E72" s="92">
        <v>0.14000000000000001</v>
      </c>
      <c r="F72" s="93">
        <v>14</v>
      </c>
      <c r="G72" s="206">
        <v>3</v>
      </c>
      <c r="H72" s="239"/>
      <c r="I72" s="94">
        <v>0</v>
      </c>
      <c r="J72" s="95">
        <f>F72+G72+$H$27</f>
        <v>17.916699999999999</v>
      </c>
      <c r="K72" s="241"/>
      <c r="L72" s="25">
        <f>Descrição!$F$93</f>
        <v>23.7</v>
      </c>
      <c r="M72" s="241"/>
      <c r="N72" s="243"/>
      <c r="O72" s="232"/>
    </row>
    <row r="73" spans="1:15" x14ac:dyDescent="0.25">
      <c r="A73" s="270"/>
      <c r="B73" s="248"/>
      <c r="C73" s="251"/>
      <c r="D73" s="91" t="s">
        <v>104</v>
      </c>
      <c r="E73" s="92">
        <v>7.0000000000000007E-2</v>
      </c>
      <c r="F73" s="93">
        <v>7</v>
      </c>
      <c r="G73" s="206">
        <v>3</v>
      </c>
      <c r="H73" s="239"/>
      <c r="I73" s="94">
        <v>0</v>
      </c>
      <c r="J73" s="95">
        <f t="shared" si="7"/>
        <v>10.916700000000001</v>
      </c>
      <c r="K73" s="241"/>
      <c r="L73" s="25">
        <f>Descrição!$F$93</f>
        <v>23.7</v>
      </c>
      <c r="M73" s="241"/>
      <c r="N73" s="243"/>
      <c r="O73" s="232"/>
    </row>
    <row r="74" spans="1:15" x14ac:dyDescent="0.25">
      <c r="A74" s="270"/>
      <c r="B74" s="249"/>
      <c r="C74" s="252"/>
      <c r="D74" s="101" t="s">
        <v>105</v>
      </c>
      <c r="E74" s="102">
        <v>0.19</v>
      </c>
      <c r="F74" s="115">
        <v>4</v>
      </c>
      <c r="G74" s="207">
        <v>1</v>
      </c>
      <c r="H74" s="253"/>
      <c r="I74" s="100">
        <v>0</v>
      </c>
      <c r="J74" s="104">
        <f t="shared" si="7"/>
        <v>5.9167000000000005</v>
      </c>
      <c r="K74" s="255"/>
      <c r="L74" s="143">
        <f>Descrição!$F$93</f>
        <v>23.7</v>
      </c>
      <c r="M74" s="241"/>
      <c r="N74" s="243"/>
      <c r="O74" s="246"/>
    </row>
    <row r="75" spans="1:15" x14ac:dyDescent="0.25">
      <c r="A75" s="270"/>
      <c r="B75" s="257" t="s">
        <v>42</v>
      </c>
      <c r="C75" s="259">
        <v>1250</v>
      </c>
      <c r="D75" s="123" t="s">
        <v>66</v>
      </c>
      <c r="E75" s="32">
        <v>0.6</v>
      </c>
      <c r="F75" s="33">
        <v>10</v>
      </c>
      <c r="G75" s="208">
        <v>2</v>
      </c>
      <c r="H75" s="238">
        <f>SUM(Descrição!$E$9,Descrição!$E$11)</f>
        <v>0.91670000000000007</v>
      </c>
      <c r="I75" s="34">
        <v>0</v>
      </c>
      <c r="J75" s="119">
        <f t="shared" si="7"/>
        <v>12.916700000000001</v>
      </c>
      <c r="K75" s="241">
        <f t="shared" ref="K75" si="30">E75*J75+E76*J76+E77*J77+E78*J78</f>
        <v>12.146700000000003</v>
      </c>
      <c r="L75" s="152">
        <f>Descrição!$F$93</f>
        <v>23.7</v>
      </c>
      <c r="M75" s="254">
        <f>L75/K75</f>
        <v>1.9511472251722686</v>
      </c>
      <c r="N75" s="262">
        <f>M75*C75</f>
        <v>2438.9340314653359</v>
      </c>
      <c r="O75" s="245">
        <f t="shared" ref="O75" si="31">SUM(N75:N78)</f>
        <v>2438.9340314653359</v>
      </c>
    </row>
    <row r="76" spans="1:15" x14ac:dyDescent="0.25">
      <c r="A76" s="270"/>
      <c r="B76" s="234"/>
      <c r="C76" s="260"/>
      <c r="D76" s="124" t="s">
        <v>67</v>
      </c>
      <c r="E76" s="36">
        <v>0.14000000000000001</v>
      </c>
      <c r="F76" s="37">
        <v>14</v>
      </c>
      <c r="G76" s="203">
        <v>3</v>
      </c>
      <c r="H76" s="239"/>
      <c r="I76" s="61">
        <v>0</v>
      </c>
      <c r="J76" s="63">
        <f t="shared" si="7"/>
        <v>17.916699999999999</v>
      </c>
      <c r="K76" s="241"/>
      <c r="L76" s="25">
        <f>Descrição!$F$93</f>
        <v>23.7</v>
      </c>
      <c r="M76" s="241"/>
      <c r="N76" s="243"/>
      <c r="O76" s="232"/>
    </row>
    <row r="77" spans="1:15" x14ac:dyDescent="0.25">
      <c r="A77" s="270"/>
      <c r="B77" s="234"/>
      <c r="C77" s="260"/>
      <c r="D77" s="124" t="s">
        <v>104</v>
      </c>
      <c r="E77" s="36">
        <v>7.0000000000000007E-2</v>
      </c>
      <c r="F77" s="37">
        <v>7</v>
      </c>
      <c r="G77" s="203">
        <v>3</v>
      </c>
      <c r="H77" s="239"/>
      <c r="I77" s="61">
        <v>0</v>
      </c>
      <c r="J77" s="63">
        <f t="shared" si="7"/>
        <v>10.916700000000001</v>
      </c>
      <c r="K77" s="241"/>
      <c r="L77" s="25">
        <f>Descrição!$F$93</f>
        <v>23.7</v>
      </c>
      <c r="M77" s="241"/>
      <c r="N77" s="243"/>
      <c r="O77" s="232"/>
    </row>
    <row r="78" spans="1:15" x14ac:dyDescent="0.25">
      <c r="A78" s="270"/>
      <c r="B78" s="258"/>
      <c r="C78" s="261"/>
      <c r="D78" s="125" t="s">
        <v>105</v>
      </c>
      <c r="E78" s="38">
        <v>0.19</v>
      </c>
      <c r="F78" s="83">
        <v>4</v>
      </c>
      <c r="G78" s="204">
        <v>1</v>
      </c>
      <c r="H78" s="253"/>
      <c r="I78" s="62">
        <v>0</v>
      </c>
      <c r="J78" s="81">
        <f t="shared" si="7"/>
        <v>5.9167000000000005</v>
      </c>
      <c r="K78" s="241"/>
      <c r="L78" s="26">
        <f>Descrição!$F$93</f>
        <v>23.7</v>
      </c>
      <c r="M78" s="255"/>
      <c r="N78" s="256"/>
      <c r="O78" s="246"/>
    </row>
    <row r="79" spans="1:15" x14ac:dyDescent="0.25">
      <c r="A79" s="270"/>
      <c r="B79" s="247" t="s">
        <v>43</v>
      </c>
      <c r="C79" s="250">
        <v>940</v>
      </c>
      <c r="D79" s="96" t="s">
        <v>66</v>
      </c>
      <c r="E79" s="97">
        <v>0.6</v>
      </c>
      <c r="F79" s="111">
        <v>10</v>
      </c>
      <c r="G79" s="205">
        <v>2</v>
      </c>
      <c r="H79" s="238">
        <f>SUM(Descrição!$E$9,Descrição!$E$11)</f>
        <v>0.91670000000000007</v>
      </c>
      <c r="I79" s="99">
        <v>0</v>
      </c>
      <c r="J79" s="118">
        <f t="shared" si="7"/>
        <v>12.916700000000001</v>
      </c>
      <c r="K79" s="254">
        <f t="shared" ref="K79" si="32">E79*J79+E80*J80+E81*J81+E82*J82</f>
        <v>12.146700000000003</v>
      </c>
      <c r="L79" s="151">
        <f>Descrição!$F$93</f>
        <v>23.7</v>
      </c>
      <c r="M79" s="241">
        <f>L79/K79</f>
        <v>1.9511472251722686</v>
      </c>
      <c r="N79" s="243">
        <f>M79*C79</f>
        <v>1834.0783916619325</v>
      </c>
      <c r="O79" s="245">
        <f t="shared" ref="O79" si="33">SUM(N79:N82)</f>
        <v>1834.0783916619325</v>
      </c>
    </row>
    <row r="80" spans="1:15" x14ac:dyDescent="0.25">
      <c r="A80" s="270"/>
      <c r="B80" s="248"/>
      <c r="C80" s="251"/>
      <c r="D80" s="91" t="s">
        <v>67</v>
      </c>
      <c r="E80" s="92">
        <v>0.14000000000000001</v>
      </c>
      <c r="F80" s="93">
        <v>14</v>
      </c>
      <c r="G80" s="206">
        <v>3</v>
      </c>
      <c r="H80" s="239"/>
      <c r="I80" s="94">
        <v>0</v>
      </c>
      <c r="J80" s="95">
        <f t="shared" si="7"/>
        <v>17.916699999999999</v>
      </c>
      <c r="K80" s="241"/>
      <c r="L80" s="25">
        <f>Descrição!$F$93</f>
        <v>23.7</v>
      </c>
      <c r="M80" s="241"/>
      <c r="N80" s="243"/>
      <c r="O80" s="232"/>
    </row>
    <row r="81" spans="1:15" x14ac:dyDescent="0.25">
      <c r="A81" s="270"/>
      <c r="B81" s="248"/>
      <c r="C81" s="251"/>
      <c r="D81" s="91" t="s">
        <v>104</v>
      </c>
      <c r="E81" s="92">
        <v>7.0000000000000007E-2</v>
      </c>
      <c r="F81" s="93">
        <v>7</v>
      </c>
      <c r="G81" s="206">
        <v>3</v>
      </c>
      <c r="H81" s="239"/>
      <c r="I81" s="94">
        <v>0</v>
      </c>
      <c r="J81" s="95">
        <f t="shared" si="7"/>
        <v>10.916700000000001</v>
      </c>
      <c r="K81" s="241"/>
      <c r="L81" s="25">
        <f>Descrição!$F$93</f>
        <v>23.7</v>
      </c>
      <c r="M81" s="241"/>
      <c r="N81" s="243"/>
      <c r="O81" s="232"/>
    </row>
    <row r="82" spans="1:15" x14ac:dyDescent="0.25">
      <c r="A82" s="270"/>
      <c r="B82" s="249"/>
      <c r="C82" s="252"/>
      <c r="D82" s="113" t="s">
        <v>105</v>
      </c>
      <c r="E82" s="114">
        <v>0.19</v>
      </c>
      <c r="F82" s="115">
        <v>4</v>
      </c>
      <c r="G82" s="211">
        <v>1</v>
      </c>
      <c r="H82" s="253"/>
      <c r="I82" s="116">
        <v>0</v>
      </c>
      <c r="J82" s="117">
        <f t="shared" si="7"/>
        <v>5.9167000000000005</v>
      </c>
      <c r="K82" s="255"/>
      <c r="L82" s="26">
        <f>Descrição!$F$93</f>
        <v>23.7</v>
      </c>
      <c r="M82" s="255"/>
      <c r="N82" s="256"/>
      <c r="O82" s="246"/>
    </row>
    <row r="83" spans="1:15" x14ac:dyDescent="0.25">
      <c r="A83" s="270"/>
      <c r="B83" s="234" t="s">
        <v>44</v>
      </c>
      <c r="C83" s="236">
        <v>432</v>
      </c>
      <c r="D83" s="105" t="s">
        <v>66</v>
      </c>
      <c r="E83" s="106">
        <v>0.6</v>
      </c>
      <c r="F83" s="107">
        <v>10</v>
      </c>
      <c r="G83" s="212">
        <v>2</v>
      </c>
      <c r="H83" s="238">
        <f>SUM(Descrição!$E$9,Descrição!$E$11)</f>
        <v>0.91670000000000007</v>
      </c>
      <c r="I83" s="108">
        <v>0</v>
      </c>
      <c r="J83" s="109">
        <f>F83+G83+$H$27</f>
        <v>12.916700000000001</v>
      </c>
      <c r="K83" s="241">
        <f t="shared" ref="K83" si="34">E83*J83+E84*J84+E85*J85+E86*J86</f>
        <v>12.146700000000003</v>
      </c>
      <c r="L83" s="151">
        <f>Descrição!$F$93</f>
        <v>23.7</v>
      </c>
      <c r="M83" s="241">
        <f>L83/K83</f>
        <v>1.9511472251722686</v>
      </c>
      <c r="N83" s="243">
        <f>M83*C83</f>
        <v>842.89560127442007</v>
      </c>
      <c r="O83" s="232">
        <f t="shared" ref="O83" si="35">SUM(N83:N86)</f>
        <v>842.89560127442007</v>
      </c>
    </row>
    <row r="84" spans="1:15" x14ac:dyDescent="0.25">
      <c r="A84" s="270"/>
      <c r="B84" s="234"/>
      <c r="C84" s="236"/>
      <c r="D84" s="35" t="s">
        <v>67</v>
      </c>
      <c r="E84" s="36">
        <v>0.14000000000000001</v>
      </c>
      <c r="F84" s="37">
        <v>14</v>
      </c>
      <c r="G84" s="203">
        <v>3</v>
      </c>
      <c r="H84" s="239"/>
      <c r="I84" s="61">
        <v>0</v>
      </c>
      <c r="J84" s="63">
        <f t="shared" si="7"/>
        <v>17.916699999999999</v>
      </c>
      <c r="K84" s="241"/>
      <c r="L84" s="25">
        <f>Descrição!$F$93</f>
        <v>23.7</v>
      </c>
      <c r="M84" s="241"/>
      <c r="N84" s="243"/>
      <c r="O84" s="232"/>
    </row>
    <row r="85" spans="1:15" x14ac:dyDescent="0.25">
      <c r="A85" s="270"/>
      <c r="B85" s="234"/>
      <c r="C85" s="236"/>
      <c r="D85" s="35" t="s">
        <v>104</v>
      </c>
      <c r="E85" s="36">
        <v>7.0000000000000007E-2</v>
      </c>
      <c r="F85" s="37">
        <v>7</v>
      </c>
      <c r="G85" s="203">
        <v>3</v>
      </c>
      <c r="H85" s="239"/>
      <c r="I85" s="61">
        <v>0</v>
      </c>
      <c r="J85" s="63">
        <f t="shared" si="7"/>
        <v>10.916700000000001</v>
      </c>
      <c r="K85" s="241"/>
      <c r="L85" s="25">
        <f>Descrição!$F$93</f>
        <v>23.7</v>
      </c>
      <c r="M85" s="241"/>
      <c r="N85" s="243"/>
      <c r="O85" s="232"/>
    </row>
    <row r="86" spans="1:15" ht="15.75" thickBot="1" x14ac:dyDescent="0.3">
      <c r="A86" s="271"/>
      <c r="B86" s="235"/>
      <c r="C86" s="237"/>
      <c r="D86" s="87" t="s">
        <v>105</v>
      </c>
      <c r="E86" s="44">
        <v>0.19</v>
      </c>
      <c r="F86" s="45">
        <v>4</v>
      </c>
      <c r="G86" s="213">
        <v>1</v>
      </c>
      <c r="H86" s="240"/>
      <c r="I86" s="79">
        <v>0</v>
      </c>
      <c r="J86" s="88">
        <f t="shared" si="7"/>
        <v>5.9167000000000005</v>
      </c>
      <c r="K86" s="242"/>
      <c r="L86" s="29">
        <f>Descrição!$F$93</f>
        <v>23.7</v>
      </c>
      <c r="M86" s="242"/>
      <c r="N86" s="244"/>
      <c r="O86" s="233"/>
    </row>
    <row r="87" spans="1:15" ht="15.75" thickBot="1" x14ac:dyDescent="0.3">
      <c r="L87" s="122"/>
      <c r="N87" s="225" t="s">
        <v>153</v>
      </c>
      <c r="O87" s="227">
        <f>SUM(O5:O86)</f>
        <v>36123.102766225435</v>
      </c>
    </row>
  </sheetData>
  <mergeCells count="173">
    <mergeCell ref="A1:O2"/>
    <mergeCell ref="A5:A25"/>
    <mergeCell ref="B5:B7"/>
    <mergeCell ref="C5:C7"/>
    <mergeCell ref="G5:G7"/>
    <mergeCell ref="H5:H7"/>
    <mergeCell ref="I5:I7"/>
    <mergeCell ref="K5:K7"/>
    <mergeCell ref="M5:M7"/>
    <mergeCell ref="N5:N7"/>
    <mergeCell ref="O5:O7"/>
    <mergeCell ref="P6:R9"/>
    <mergeCell ref="B8:B10"/>
    <mergeCell ref="C8:C10"/>
    <mergeCell ref="G8:G10"/>
    <mergeCell ref="H8:H10"/>
    <mergeCell ref="I8:I10"/>
    <mergeCell ref="K8:K10"/>
    <mergeCell ref="M8:M10"/>
    <mergeCell ref="N8:N10"/>
    <mergeCell ref="O8:O10"/>
    <mergeCell ref="B11:B13"/>
    <mergeCell ref="C11:C13"/>
    <mergeCell ref="G11:G13"/>
    <mergeCell ref="H11:H13"/>
    <mergeCell ref="I11:I13"/>
    <mergeCell ref="K11:K13"/>
    <mergeCell ref="M11:M13"/>
    <mergeCell ref="N11:N13"/>
    <mergeCell ref="O11:O13"/>
    <mergeCell ref="M14:M16"/>
    <mergeCell ref="N14:N16"/>
    <mergeCell ref="O14:O16"/>
    <mergeCell ref="B17:B19"/>
    <mergeCell ref="C17:C19"/>
    <mergeCell ref="G17:G19"/>
    <mergeCell ref="H17:H19"/>
    <mergeCell ref="I17:I19"/>
    <mergeCell ref="K17:K19"/>
    <mergeCell ref="M17:M19"/>
    <mergeCell ref="B14:B16"/>
    <mergeCell ref="C14:C16"/>
    <mergeCell ref="G14:G16"/>
    <mergeCell ref="H14:H16"/>
    <mergeCell ref="I14:I16"/>
    <mergeCell ref="K14:K16"/>
    <mergeCell ref="N17:N19"/>
    <mergeCell ref="O17:O19"/>
    <mergeCell ref="B20:B22"/>
    <mergeCell ref="C20:C22"/>
    <mergeCell ref="G20:G22"/>
    <mergeCell ref="H20:H22"/>
    <mergeCell ref="I20:I22"/>
    <mergeCell ref="K20:K22"/>
    <mergeCell ref="M20:M22"/>
    <mergeCell ref="N20:N22"/>
    <mergeCell ref="O20:O22"/>
    <mergeCell ref="B23:B25"/>
    <mergeCell ref="C23:C25"/>
    <mergeCell ref="G23:G25"/>
    <mergeCell ref="H23:H25"/>
    <mergeCell ref="I23:I25"/>
    <mergeCell ref="K23:K25"/>
    <mergeCell ref="M23:M25"/>
    <mergeCell ref="N23:N25"/>
    <mergeCell ref="O23:O25"/>
    <mergeCell ref="A27:A86"/>
    <mergeCell ref="B27:B29"/>
    <mergeCell ref="C27:C29"/>
    <mergeCell ref="H27:H30"/>
    <mergeCell ref="K27:K30"/>
    <mergeCell ref="M27:M30"/>
    <mergeCell ref="B35:B38"/>
    <mergeCell ref="C35:C38"/>
    <mergeCell ref="H35:H38"/>
    <mergeCell ref="K35:K38"/>
    <mergeCell ref="N27:N30"/>
    <mergeCell ref="O27:O30"/>
    <mergeCell ref="P29:R32"/>
    <mergeCell ref="B31:B34"/>
    <mergeCell ref="C31:C34"/>
    <mergeCell ref="H31:H34"/>
    <mergeCell ref="K31:K34"/>
    <mergeCell ref="M31:M34"/>
    <mergeCell ref="N31:N34"/>
    <mergeCell ref="O31:O34"/>
    <mergeCell ref="M35:M38"/>
    <mergeCell ref="N35:N38"/>
    <mergeCell ref="O35:O38"/>
    <mergeCell ref="B39:B42"/>
    <mergeCell ref="C39:C42"/>
    <mergeCell ref="H39:H42"/>
    <mergeCell ref="K39:K42"/>
    <mergeCell ref="M39:M42"/>
    <mergeCell ref="N39:N42"/>
    <mergeCell ref="O39:O42"/>
    <mergeCell ref="O43:O46"/>
    <mergeCell ref="B47:B50"/>
    <mergeCell ref="C47:C50"/>
    <mergeCell ref="H47:H50"/>
    <mergeCell ref="K47:K50"/>
    <mergeCell ref="M47:M50"/>
    <mergeCell ref="N47:N50"/>
    <mergeCell ref="O47:O50"/>
    <mergeCell ref="B43:B46"/>
    <mergeCell ref="C43:C46"/>
    <mergeCell ref="H43:H46"/>
    <mergeCell ref="K43:K46"/>
    <mergeCell ref="M43:M46"/>
    <mergeCell ref="N43:N46"/>
    <mergeCell ref="O51:O54"/>
    <mergeCell ref="B55:B58"/>
    <mergeCell ref="C55:C58"/>
    <mergeCell ref="H55:H58"/>
    <mergeCell ref="K55:K58"/>
    <mergeCell ref="M55:M58"/>
    <mergeCell ref="N55:N58"/>
    <mergeCell ref="O55:O58"/>
    <mergeCell ref="B51:B54"/>
    <mergeCell ref="C51:C54"/>
    <mergeCell ref="H51:H54"/>
    <mergeCell ref="K51:K54"/>
    <mergeCell ref="M51:M54"/>
    <mergeCell ref="N51:N54"/>
    <mergeCell ref="O59:O62"/>
    <mergeCell ref="B63:B66"/>
    <mergeCell ref="C63:C66"/>
    <mergeCell ref="H63:H66"/>
    <mergeCell ref="K63:K66"/>
    <mergeCell ref="M63:M66"/>
    <mergeCell ref="N63:N66"/>
    <mergeCell ref="O63:O66"/>
    <mergeCell ref="B59:B62"/>
    <mergeCell ref="C59:C62"/>
    <mergeCell ref="H59:H62"/>
    <mergeCell ref="K59:K62"/>
    <mergeCell ref="M59:M62"/>
    <mergeCell ref="N59:N62"/>
    <mergeCell ref="O67:O70"/>
    <mergeCell ref="B71:B74"/>
    <mergeCell ref="C71:C74"/>
    <mergeCell ref="H71:H74"/>
    <mergeCell ref="K71:K74"/>
    <mergeCell ref="M71:M74"/>
    <mergeCell ref="N71:N74"/>
    <mergeCell ref="O71:O74"/>
    <mergeCell ref="B67:B70"/>
    <mergeCell ref="C67:C70"/>
    <mergeCell ref="H67:H70"/>
    <mergeCell ref="K67:K70"/>
    <mergeCell ref="M67:M70"/>
    <mergeCell ref="N67:N70"/>
    <mergeCell ref="O83:O86"/>
    <mergeCell ref="B83:B86"/>
    <mergeCell ref="C83:C86"/>
    <mergeCell ref="H83:H86"/>
    <mergeCell ref="K83:K86"/>
    <mergeCell ref="M83:M86"/>
    <mergeCell ref="N83:N86"/>
    <mergeCell ref="O75:O78"/>
    <mergeCell ref="B79:B82"/>
    <mergeCell ref="C79:C82"/>
    <mergeCell ref="H79:H82"/>
    <mergeCell ref="K79:K82"/>
    <mergeCell ref="M79:M82"/>
    <mergeCell ref="N79:N82"/>
    <mergeCell ref="O79:O82"/>
    <mergeCell ref="B75:B78"/>
    <mergeCell ref="C75:C78"/>
    <mergeCell ref="H75:H78"/>
    <mergeCell ref="K75:K78"/>
    <mergeCell ref="M75:M78"/>
    <mergeCell ref="N75:N78"/>
  </mergeCells>
  <pageMargins left="0.25" right="0.25" top="0.75" bottom="0.75" header="0.3" footer="0.3"/>
  <pageSetup paperSize="9" scale="61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showGridLines="0" zoomScale="90" zoomScaleNormal="90" workbookViewId="0">
      <selection sqref="A1:E1"/>
    </sheetView>
  </sheetViews>
  <sheetFormatPr defaultRowHeight="15" x14ac:dyDescent="0.25"/>
  <cols>
    <col min="1" max="1" width="5" style="10" customWidth="1"/>
    <col min="2" max="2" width="26.42578125" style="10" customWidth="1"/>
    <col min="3" max="3" width="54" style="10" customWidth="1"/>
    <col min="4" max="4" width="24.5703125" style="10" customWidth="1"/>
    <col min="5" max="5" width="23" style="10" customWidth="1"/>
    <col min="6" max="6" width="7.85546875" style="10" customWidth="1"/>
    <col min="7" max="7" width="14.7109375" style="10" customWidth="1"/>
    <col min="8" max="16384" width="9.140625" style="10"/>
  </cols>
  <sheetData>
    <row r="1" spans="1:5" ht="66.75" customHeight="1" x14ac:dyDescent="0.25">
      <c r="A1" s="346" t="s">
        <v>62</v>
      </c>
      <c r="B1" s="346"/>
      <c r="C1" s="346"/>
      <c r="D1" s="346"/>
      <c r="E1" s="346"/>
    </row>
    <row r="2" spans="1:5" ht="9" customHeight="1" x14ac:dyDescent="0.25">
      <c r="C2" s="9"/>
    </row>
    <row r="3" spans="1:5" ht="32.25" customHeight="1" x14ac:dyDescent="0.25">
      <c r="A3" s="347" t="s">
        <v>144</v>
      </c>
      <c r="B3" s="353"/>
      <c r="C3" s="353"/>
      <c r="D3" s="353"/>
      <c r="E3" s="353"/>
    </row>
    <row r="4" spans="1:5" ht="83.25" customHeight="1" x14ac:dyDescent="0.25">
      <c r="B4" s="333" t="s">
        <v>93</v>
      </c>
      <c r="C4" s="333"/>
      <c r="D4" s="333"/>
      <c r="E4" s="333"/>
    </row>
    <row r="5" spans="1:5" s="17" customFormat="1" ht="9.75" customHeight="1" x14ac:dyDescent="0.25">
      <c r="B5" s="21"/>
      <c r="C5" s="21"/>
      <c r="D5" s="21"/>
      <c r="E5" s="21"/>
    </row>
    <row r="6" spans="1:5" ht="30" x14ac:dyDescent="0.25">
      <c r="A6" s="347" t="s">
        <v>143</v>
      </c>
      <c r="B6" s="347"/>
      <c r="C6" s="347"/>
      <c r="D6" s="6" t="s">
        <v>71</v>
      </c>
      <c r="E6" s="6" t="s">
        <v>11</v>
      </c>
    </row>
    <row r="7" spans="1:5" x14ac:dyDescent="0.25">
      <c r="B7" s="332" t="s">
        <v>35</v>
      </c>
      <c r="C7" s="332"/>
      <c r="D7" s="7" t="s">
        <v>40</v>
      </c>
      <c r="E7" s="14"/>
    </row>
    <row r="8" spans="1:5" x14ac:dyDescent="0.25">
      <c r="B8" s="334" t="s">
        <v>111</v>
      </c>
      <c r="C8" s="334"/>
      <c r="D8" s="7" t="s">
        <v>40</v>
      </c>
      <c r="E8" s="13"/>
    </row>
    <row r="9" spans="1:5" x14ac:dyDescent="0.25">
      <c r="B9" s="334" t="s">
        <v>36</v>
      </c>
      <c r="C9" s="334"/>
      <c r="D9" s="162">
        <v>2.0833333333333332E-2</v>
      </c>
      <c r="E9" s="177">
        <v>0.5</v>
      </c>
    </row>
    <row r="10" spans="1:5" x14ac:dyDescent="0.25">
      <c r="B10" s="333" t="s">
        <v>72</v>
      </c>
      <c r="C10" s="333"/>
      <c r="D10" s="64" t="s">
        <v>112</v>
      </c>
      <c r="E10" s="177"/>
    </row>
    <row r="11" spans="1:5" ht="20.25" customHeight="1" x14ac:dyDescent="0.25">
      <c r="B11" s="334" t="s">
        <v>73</v>
      </c>
      <c r="C11" s="334"/>
      <c r="D11" s="163">
        <v>1.7361111111111112E-2</v>
      </c>
      <c r="E11" s="228">
        <v>0.41670000000000001</v>
      </c>
    </row>
    <row r="12" spans="1:5" ht="29.25" customHeight="1" x14ac:dyDescent="0.25">
      <c r="B12" s="336" t="s">
        <v>37</v>
      </c>
      <c r="C12" s="336"/>
      <c r="D12" s="7" t="s">
        <v>40</v>
      </c>
      <c r="E12" s="13"/>
    </row>
    <row r="13" spans="1:5" ht="17.25" customHeight="1" x14ac:dyDescent="0.25">
      <c r="B13" s="335" t="s">
        <v>38</v>
      </c>
      <c r="C13" s="335"/>
      <c r="D13" s="7" t="s">
        <v>40</v>
      </c>
      <c r="E13" s="49"/>
    </row>
    <row r="14" spans="1:5" ht="18.75" customHeight="1" x14ac:dyDescent="0.25">
      <c r="B14" s="335" t="s">
        <v>39</v>
      </c>
      <c r="C14" s="335"/>
      <c r="D14" s="7" t="s">
        <v>40</v>
      </c>
      <c r="E14" s="49"/>
    </row>
    <row r="15" spans="1:5" s="17" customFormat="1" ht="13.5" customHeight="1" x14ac:dyDescent="0.25">
      <c r="C15" s="16"/>
      <c r="D15" s="20"/>
      <c r="E15" s="20"/>
    </row>
    <row r="16" spans="1:5" ht="30" customHeight="1" x14ac:dyDescent="0.25">
      <c r="A16" s="354" t="s">
        <v>142</v>
      </c>
      <c r="B16" s="355"/>
      <c r="C16" s="355"/>
      <c r="D16" s="355"/>
      <c r="E16" s="356"/>
    </row>
    <row r="17" spans="1:5" ht="371.25" customHeight="1" x14ac:dyDescent="0.25">
      <c r="B17" s="358" t="s">
        <v>120</v>
      </c>
      <c r="C17" s="359"/>
      <c r="D17" s="359"/>
      <c r="E17" s="359"/>
    </row>
    <row r="18" spans="1:5" ht="37.5" customHeight="1" x14ac:dyDescent="0.25">
      <c r="A18" s="349" t="s">
        <v>125</v>
      </c>
      <c r="B18" s="349"/>
      <c r="C18" s="349"/>
      <c r="D18" s="357" t="s">
        <v>110</v>
      </c>
      <c r="E18" s="357" t="s">
        <v>124</v>
      </c>
    </row>
    <row r="19" spans="1:5" ht="42.75" customHeight="1" x14ac:dyDescent="0.25">
      <c r="A19" s="349"/>
      <c r="B19" s="349"/>
      <c r="C19" s="349"/>
      <c r="D19" s="357"/>
      <c r="E19" s="357"/>
    </row>
    <row r="20" spans="1:5" x14ac:dyDescent="0.25">
      <c r="B20" s="360" t="s">
        <v>154</v>
      </c>
      <c r="C20" s="66" t="s">
        <v>17</v>
      </c>
      <c r="D20" s="67">
        <v>400</v>
      </c>
      <c r="E20" s="67">
        <f>D20*4</f>
        <v>1600</v>
      </c>
    </row>
    <row r="21" spans="1:5" x14ac:dyDescent="0.25">
      <c r="B21" s="361"/>
      <c r="C21" s="23" t="s">
        <v>18</v>
      </c>
      <c r="D21" s="22">
        <v>550</v>
      </c>
      <c r="E21" s="22">
        <f>D21*4</f>
        <v>2200</v>
      </c>
    </row>
    <row r="22" spans="1:5" ht="15.75" customHeight="1" x14ac:dyDescent="0.25">
      <c r="B22" s="361"/>
      <c r="C22" s="23" t="s">
        <v>21</v>
      </c>
      <c r="D22" s="22">
        <v>1000</v>
      </c>
      <c r="E22" s="22">
        <f>D22*4</f>
        <v>4000</v>
      </c>
    </row>
    <row r="23" spans="1:5" x14ac:dyDescent="0.25">
      <c r="B23" s="361"/>
      <c r="C23" s="23" t="s">
        <v>24</v>
      </c>
      <c r="D23" s="22">
        <v>250</v>
      </c>
      <c r="E23" s="22">
        <f t="shared" ref="E23:E26" si="0">D23*4</f>
        <v>1000</v>
      </c>
    </row>
    <row r="24" spans="1:5" x14ac:dyDescent="0.25">
      <c r="B24" s="361"/>
      <c r="C24" s="23" t="s">
        <v>30</v>
      </c>
      <c r="D24" s="22">
        <v>120</v>
      </c>
      <c r="E24" s="22">
        <f t="shared" si="0"/>
        <v>480</v>
      </c>
    </row>
    <row r="25" spans="1:5" x14ac:dyDescent="0.25">
      <c r="B25" s="361"/>
      <c r="C25" s="23" t="s">
        <v>31</v>
      </c>
      <c r="D25" s="22">
        <v>650</v>
      </c>
      <c r="E25" s="22">
        <f t="shared" si="0"/>
        <v>2600</v>
      </c>
    </row>
    <row r="26" spans="1:5" x14ac:dyDescent="0.25">
      <c r="B26" s="361"/>
      <c r="C26" s="23" t="s">
        <v>33</v>
      </c>
      <c r="D26" s="22">
        <v>1000</v>
      </c>
      <c r="E26" s="22">
        <f t="shared" si="0"/>
        <v>4000</v>
      </c>
    </row>
    <row r="27" spans="1:5" ht="2.25" customHeight="1" x14ac:dyDescent="0.25">
      <c r="C27" s="24"/>
      <c r="E27" s="5"/>
    </row>
    <row r="28" spans="1:5" ht="15" customHeight="1" x14ac:dyDescent="0.25">
      <c r="B28" s="345" t="s">
        <v>95</v>
      </c>
      <c r="C28" s="23" t="s">
        <v>19</v>
      </c>
      <c r="D28" s="22">
        <v>750</v>
      </c>
      <c r="E28" s="22">
        <f>D28*2</f>
        <v>1500</v>
      </c>
    </row>
    <row r="29" spans="1:5" x14ac:dyDescent="0.25">
      <c r="B29" s="345"/>
      <c r="C29" s="23" t="s">
        <v>20</v>
      </c>
      <c r="D29" s="22">
        <v>180</v>
      </c>
      <c r="E29" s="22">
        <f t="shared" ref="E29:E56" si="1">D29*2</f>
        <v>360</v>
      </c>
    </row>
    <row r="30" spans="1:5" x14ac:dyDescent="0.25">
      <c r="B30" s="345"/>
      <c r="C30" s="23" t="s">
        <v>22</v>
      </c>
      <c r="D30" s="22">
        <v>1250</v>
      </c>
      <c r="E30" s="22">
        <f t="shared" si="1"/>
        <v>2500</v>
      </c>
    </row>
    <row r="31" spans="1:5" x14ac:dyDescent="0.25">
      <c r="B31" s="345"/>
      <c r="C31" s="23" t="s">
        <v>23</v>
      </c>
      <c r="D31" s="22">
        <v>750</v>
      </c>
      <c r="E31" s="22">
        <f t="shared" si="1"/>
        <v>1500</v>
      </c>
    </row>
    <row r="32" spans="1:5" ht="15" hidden="1" customHeight="1" x14ac:dyDescent="0.25">
      <c r="B32" s="345"/>
      <c r="C32" s="23" t="s">
        <v>88</v>
      </c>
      <c r="D32" s="22"/>
      <c r="E32" s="22">
        <f t="shared" si="1"/>
        <v>0</v>
      </c>
    </row>
    <row r="33" spans="2:5" ht="15" hidden="1" customHeight="1" x14ac:dyDescent="0.25">
      <c r="B33" s="345"/>
      <c r="C33" s="23" t="s">
        <v>89</v>
      </c>
      <c r="D33" s="22"/>
      <c r="E33" s="22">
        <f t="shared" si="1"/>
        <v>0</v>
      </c>
    </row>
    <row r="34" spans="2:5" ht="15" hidden="1" customHeight="1" x14ac:dyDescent="0.25">
      <c r="B34" s="345"/>
      <c r="C34" s="23" t="s">
        <v>90</v>
      </c>
      <c r="D34" s="22"/>
      <c r="E34" s="22">
        <f t="shared" si="1"/>
        <v>0</v>
      </c>
    </row>
    <row r="35" spans="2:5" ht="22.5" hidden="1" customHeight="1" x14ac:dyDescent="0.25">
      <c r="B35" s="345"/>
      <c r="C35" s="23" t="s">
        <v>87</v>
      </c>
      <c r="D35" s="22"/>
      <c r="E35" s="22">
        <f t="shared" si="1"/>
        <v>0</v>
      </c>
    </row>
    <row r="36" spans="2:5" x14ac:dyDescent="0.25">
      <c r="B36" s="345"/>
      <c r="C36" s="23" t="s">
        <v>25</v>
      </c>
      <c r="D36" s="22">
        <v>200</v>
      </c>
      <c r="E36" s="22">
        <f t="shared" si="1"/>
        <v>400</v>
      </c>
    </row>
    <row r="37" spans="2:5" x14ac:dyDescent="0.25">
      <c r="B37" s="345"/>
      <c r="C37" s="23" t="s">
        <v>26</v>
      </c>
      <c r="D37" s="22">
        <v>400</v>
      </c>
      <c r="E37" s="22">
        <f t="shared" si="1"/>
        <v>800</v>
      </c>
    </row>
    <row r="38" spans="2:5" x14ac:dyDescent="0.25">
      <c r="B38" s="345"/>
      <c r="C38" s="23" t="s">
        <v>27</v>
      </c>
      <c r="D38" s="22">
        <v>600</v>
      </c>
      <c r="E38" s="22">
        <f t="shared" si="1"/>
        <v>1200</v>
      </c>
    </row>
    <row r="39" spans="2:5" x14ac:dyDescent="0.25">
      <c r="B39" s="345"/>
      <c r="C39" s="23" t="s">
        <v>28</v>
      </c>
      <c r="D39" s="22">
        <v>1250</v>
      </c>
      <c r="E39" s="22">
        <f t="shared" si="1"/>
        <v>2500</v>
      </c>
    </row>
    <row r="40" spans="2:5" x14ac:dyDescent="0.25">
      <c r="B40" s="345"/>
      <c r="C40" s="23" t="s">
        <v>29</v>
      </c>
      <c r="D40" s="22">
        <v>1250</v>
      </c>
      <c r="E40" s="22">
        <f t="shared" si="1"/>
        <v>2500</v>
      </c>
    </row>
    <row r="41" spans="2:5" ht="15" hidden="1" customHeight="1" x14ac:dyDescent="0.25">
      <c r="B41" s="345"/>
      <c r="C41" s="23" t="s">
        <v>75</v>
      </c>
      <c r="D41" s="22"/>
      <c r="E41" s="22">
        <f t="shared" si="1"/>
        <v>0</v>
      </c>
    </row>
    <row r="42" spans="2:5" x14ac:dyDescent="0.25">
      <c r="B42" s="345"/>
      <c r="C42" s="23" t="s">
        <v>32</v>
      </c>
      <c r="D42" s="22">
        <v>300</v>
      </c>
      <c r="E42" s="22">
        <f t="shared" si="1"/>
        <v>600</v>
      </c>
    </row>
    <row r="43" spans="2:5" ht="15" hidden="1" customHeight="1" x14ac:dyDescent="0.25">
      <c r="B43" s="345"/>
      <c r="C43" s="23" t="s">
        <v>76</v>
      </c>
      <c r="D43" s="22"/>
      <c r="E43" s="22">
        <f t="shared" si="1"/>
        <v>0</v>
      </c>
    </row>
    <row r="44" spans="2:5" ht="15" hidden="1" customHeight="1" x14ac:dyDescent="0.25">
      <c r="B44" s="345"/>
      <c r="C44" s="23" t="s">
        <v>77</v>
      </c>
      <c r="D44" s="22"/>
      <c r="E44" s="22">
        <f t="shared" si="1"/>
        <v>0</v>
      </c>
    </row>
    <row r="45" spans="2:5" ht="15" hidden="1" customHeight="1" x14ac:dyDescent="0.25">
      <c r="B45" s="345"/>
      <c r="C45" s="23" t="s">
        <v>78</v>
      </c>
      <c r="D45" s="22"/>
      <c r="E45" s="22">
        <f t="shared" si="1"/>
        <v>0</v>
      </c>
    </row>
    <row r="46" spans="2:5" ht="15" hidden="1" customHeight="1" x14ac:dyDescent="0.25">
      <c r="B46" s="345"/>
      <c r="C46" s="23" t="s">
        <v>79</v>
      </c>
      <c r="D46" s="22"/>
      <c r="E46" s="22">
        <f t="shared" si="1"/>
        <v>0</v>
      </c>
    </row>
    <row r="47" spans="2:5" x14ac:dyDescent="0.25">
      <c r="B47" s="345"/>
      <c r="C47" s="23" t="s">
        <v>82</v>
      </c>
      <c r="D47" s="22">
        <v>350</v>
      </c>
      <c r="E47" s="22">
        <f t="shared" si="1"/>
        <v>700</v>
      </c>
    </row>
    <row r="48" spans="2:5" ht="15" hidden="1" customHeight="1" x14ac:dyDescent="0.25">
      <c r="B48" s="345"/>
      <c r="C48" s="23" t="s">
        <v>80</v>
      </c>
      <c r="D48" s="22"/>
      <c r="E48" s="22">
        <f t="shared" si="1"/>
        <v>0</v>
      </c>
    </row>
    <row r="49" spans="1:5" ht="15" hidden="1" customHeight="1" x14ac:dyDescent="0.25">
      <c r="B49" s="345"/>
      <c r="C49" s="23" t="s">
        <v>81</v>
      </c>
      <c r="D49" s="22"/>
      <c r="E49" s="22">
        <f t="shared" si="1"/>
        <v>0</v>
      </c>
    </row>
    <row r="50" spans="1:5" ht="15" hidden="1" customHeight="1" x14ac:dyDescent="0.25">
      <c r="B50" s="345"/>
      <c r="C50" s="23" t="s">
        <v>83</v>
      </c>
      <c r="D50" s="22"/>
      <c r="E50" s="22">
        <f t="shared" si="1"/>
        <v>0</v>
      </c>
    </row>
    <row r="51" spans="1:5" ht="15" hidden="1" customHeight="1" x14ac:dyDescent="0.25">
      <c r="B51" s="345"/>
      <c r="C51" s="23" t="s">
        <v>84</v>
      </c>
      <c r="D51" s="22"/>
      <c r="E51" s="22">
        <f t="shared" si="1"/>
        <v>0</v>
      </c>
    </row>
    <row r="52" spans="1:5" x14ac:dyDescent="0.25">
      <c r="B52" s="345"/>
      <c r="C52" s="23" t="s">
        <v>41</v>
      </c>
      <c r="D52" s="22">
        <v>940</v>
      </c>
      <c r="E52" s="22">
        <f t="shared" si="1"/>
        <v>1880</v>
      </c>
    </row>
    <row r="53" spans="1:5" x14ac:dyDescent="0.25">
      <c r="B53" s="345"/>
      <c r="C53" s="23" t="s">
        <v>42</v>
      </c>
      <c r="D53" s="22">
        <v>1250</v>
      </c>
      <c r="E53" s="22">
        <f t="shared" si="1"/>
        <v>2500</v>
      </c>
    </row>
    <row r="54" spans="1:5" ht="15" hidden="1" customHeight="1" x14ac:dyDescent="0.25">
      <c r="B54" s="345"/>
      <c r="C54" s="23" t="s">
        <v>85</v>
      </c>
      <c r="D54" s="22"/>
      <c r="E54" s="22">
        <f t="shared" si="1"/>
        <v>0</v>
      </c>
    </row>
    <row r="55" spans="1:5" x14ac:dyDescent="0.25">
      <c r="B55" s="345"/>
      <c r="C55" s="23" t="s">
        <v>43</v>
      </c>
      <c r="D55" s="22">
        <v>940</v>
      </c>
      <c r="E55" s="22">
        <f t="shared" si="1"/>
        <v>1880</v>
      </c>
    </row>
    <row r="56" spans="1:5" x14ac:dyDescent="0.25">
      <c r="B56" s="345"/>
      <c r="C56" s="23" t="s">
        <v>44</v>
      </c>
      <c r="D56" s="22">
        <v>432</v>
      </c>
      <c r="E56" s="22">
        <f t="shared" si="1"/>
        <v>864</v>
      </c>
    </row>
    <row r="57" spans="1:5" ht="19.5" hidden="1" customHeight="1" x14ac:dyDescent="0.25">
      <c r="B57" s="345"/>
      <c r="C57" s="23" t="s">
        <v>86</v>
      </c>
      <c r="D57" s="22"/>
      <c r="E57" s="22"/>
    </row>
    <row r="58" spans="1:5" s="17" customFormat="1" ht="3.75" customHeight="1" thickBot="1" x14ac:dyDescent="0.3">
      <c r="B58" s="141"/>
      <c r="C58" s="16"/>
      <c r="D58" s="8"/>
    </row>
    <row r="59" spans="1:5" s="17" customFormat="1" ht="15.75" thickBot="1" x14ac:dyDescent="0.3">
      <c r="C59" s="16"/>
      <c r="D59" s="229" t="s">
        <v>69</v>
      </c>
      <c r="E59" s="230">
        <f>SUM(E20:E26,E28:E56)</f>
        <v>37564</v>
      </c>
    </row>
    <row r="60" spans="1:5" s="150" customFormat="1" x14ac:dyDescent="0.25">
      <c r="C60" s="149"/>
      <c r="D60" s="18"/>
      <c r="E60" s="18"/>
    </row>
    <row r="61" spans="1:5" ht="28.5" customHeight="1" x14ac:dyDescent="0.25">
      <c r="A61" s="347" t="s">
        <v>141</v>
      </c>
      <c r="B61" s="347"/>
      <c r="C61" s="347"/>
      <c r="D61" s="142" t="s">
        <v>58</v>
      </c>
      <c r="E61" s="6" t="s">
        <v>155</v>
      </c>
    </row>
    <row r="62" spans="1:5" ht="6" customHeight="1" x14ac:dyDescent="0.25"/>
    <row r="63" spans="1:5" x14ac:dyDescent="0.25">
      <c r="B63" s="348" t="s">
        <v>102</v>
      </c>
      <c r="C63" s="11" t="s">
        <v>126</v>
      </c>
      <c r="D63" s="13">
        <v>500</v>
      </c>
      <c r="E63" s="65">
        <f>D63*24</f>
        <v>12000</v>
      </c>
    </row>
    <row r="64" spans="1:5" x14ac:dyDescent="0.25">
      <c r="B64" s="348"/>
      <c r="C64" s="11" t="s">
        <v>127</v>
      </c>
      <c r="D64" s="13">
        <v>400</v>
      </c>
      <c r="E64" s="65">
        <f t="shared" ref="E64:E68" si="2">D64*24</f>
        <v>9600</v>
      </c>
    </row>
    <row r="65" spans="2:5" x14ac:dyDescent="0.25">
      <c r="B65" s="348"/>
      <c r="C65" s="11" t="s">
        <v>128</v>
      </c>
      <c r="D65" s="13">
        <v>400</v>
      </c>
      <c r="E65" s="65">
        <f t="shared" si="2"/>
        <v>9600</v>
      </c>
    </row>
    <row r="66" spans="2:5" x14ac:dyDescent="0.25">
      <c r="B66" s="348"/>
      <c r="C66" s="11" t="s">
        <v>129</v>
      </c>
      <c r="D66" s="13">
        <v>400</v>
      </c>
      <c r="E66" s="65">
        <f t="shared" si="2"/>
        <v>9600</v>
      </c>
    </row>
    <row r="67" spans="2:5" x14ac:dyDescent="0.25">
      <c r="B67" s="348"/>
      <c r="C67" s="11" t="s">
        <v>130</v>
      </c>
      <c r="D67" s="13">
        <v>400</v>
      </c>
      <c r="E67" s="65">
        <f t="shared" si="2"/>
        <v>9600</v>
      </c>
    </row>
    <row r="68" spans="2:5" x14ac:dyDescent="0.25">
      <c r="B68" s="348"/>
      <c r="C68" s="11" t="s">
        <v>131</v>
      </c>
      <c r="D68" s="13">
        <v>400</v>
      </c>
      <c r="E68" s="65">
        <f t="shared" si="2"/>
        <v>9600</v>
      </c>
    </row>
    <row r="69" spans="2:5" ht="13.5" customHeight="1" x14ac:dyDescent="0.25">
      <c r="B69" s="348"/>
      <c r="C69" s="148"/>
      <c r="D69" s="182" t="s">
        <v>132</v>
      </c>
      <c r="E69" s="183">
        <f>SUM(E63:E68)</f>
        <v>60000</v>
      </c>
    </row>
    <row r="70" spans="2:5" x14ac:dyDescent="0.25">
      <c r="B70" s="348"/>
      <c r="C70" s="11" t="s">
        <v>54</v>
      </c>
      <c r="D70" s="47">
        <v>375</v>
      </c>
      <c r="E70" s="13">
        <f>D70*24</f>
        <v>9000</v>
      </c>
    </row>
    <row r="71" spans="2:5" x14ac:dyDescent="0.25">
      <c r="B71" s="348"/>
      <c r="C71" s="11" t="s">
        <v>55</v>
      </c>
      <c r="D71" s="47">
        <v>375</v>
      </c>
      <c r="E71" s="13">
        <f>D71*24</f>
        <v>9000</v>
      </c>
    </row>
    <row r="72" spans="2:5" x14ac:dyDescent="0.25">
      <c r="B72" s="348"/>
      <c r="C72" s="11" t="s">
        <v>56</v>
      </c>
      <c r="D72" s="47">
        <v>375</v>
      </c>
      <c r="E72" s="13">
        <f t="shared" ref="E72:E84" si="3">D72*24</f>
        <v>9000</v>
      </c>
    </row>
    <row r="73" spans="2:5" x14ac:dyDescent="0.25">
      <c r="B73" s="348"/>
      <c r="C73" s="11" t="s">
        <v>57</v>
      </c>
      <c r="D73" s="49">
        <v>375</v>
      </c>
      <c r="E73" s="49">
        <f t="shared" ref="E73:E74" si="4">D73*24</f>
        <v>9000</v>
      </c>
    </row>
    <row r="74" spans="2:5" x14ac:dyDescent="0.25">
      <c r="B74" s="348"/>
      <c r="C74" s="48" t="s">
        <v>59</v>
      </c>
      <c r="D74" s="49">
        <v>375</v>
      </c>
      <c r="E74" s="49">
        <f t="shared" si="4"/>
        <v>9000</v>
      </c>
    </row>
    <row r="75" spans="2:5" ht="12.75" customHeight="1" x14ac:dyDescent="0.25">
      <c r="B75" s="348"/>
      <c r="C75" s="148"/>
      <c r="D75" s="182" t="s">
        <v>132</v>
      </c>
      <c r="E75" s="183">
        <f>SUM(E70:E74)</f>
        <v>45000</v>
      </c>
    </row>
    <row r="76" spans="2:5" x14ac:dyDescent="0.25">
      <c r="B76" s="348"/>
      <c r="C76" s="11" t="s">
        <v>47</v>
      </c>
      <c r="D76" s="13">
        <v>150</v>
      </c>
      <c r="E76" s="13">
        <f t="shared" si="3"/>
        <v>3600</v>
      </c>
    </row>
    <row r="77" spans="2:5" x14ac:dyDescent="0.25">
      <c r="B77" s="348"/>
      <c r="C77" s="15" t="s">
        <v>48</v>
      </c>
      <c r="D77" s="13">
        <v>150</v>
      </c>
      <c r="E77" s="13">
        <f t="shared" si="3"/>
        <v>3600</v>
      </c>
    </row>
    <row r="78" spans="2:5" x14ac:dyDescent="0.25">
      <c r="B78" s="348"/>
      <c r="C78" s="15" t="s">
        <v>49</v>
      </c>
      <c r="D78" s="13">
        <v>55</v>
      </c>
      <c r="E78" s="13">
        <f t="shared" si="3"/>
        <v>1320</v>
      </c>
    </row>
    <row r="79" spans="2:5" x14ac:dyDescent="0.25">
      <c r="B79" s="348"/>
      <c r="C79" s="15" t="s">
        <v>50</v>
      </c>
      <c r="D79" s="13">
        <v>55</v>
      </c>
      <c r="E79" s="13">
        <f t="shared" si="3"/>
        <v>1320</v>
      </c>
    </row>
    <row r="80" spans="2:5" x14ac:dyDescent="0.25">
      <c r="B80" s="348"/>
      <c r="C80" s="15" t="s">
        <v>51</v>
      </c>
      <c r="D80" s="13">
        <v>100</v>
      </c>
      <c r="E80" s="13">
        <f>D80*24</f>
        <v>2400</v>
      </c>
    </row>
    <row r="81" spans="1:7" x14ac:dyDescent="0.25">
      <c r="B81" s="348"/>
      <c r="C81" s="15" t="s">
        <v>52</v>
      </c>
      <c r="D81" s="13">
        <v>100</v>
      </c>
      <c r="E81" s="13">
        <f>D81*24</f>
        <v>2400</v>
      </c>
    </row>
    <row r="82" spans="1:7" x14ac:dyDescent="0.25">
      <c r="B82" s="348"/>
      <c r="C82" s="46" t="s">
        <v>96</v>
      </c>
      <c r="D82" s="47">
        <v>102</v>
      </c>
      <c r="E82" s="47">
        <f>D82*24</f>
        <v>2448</v>
      </c>
    </row>
    <row r="83" spans="1:7" x14ac:dyDescent="0.25">
      <c r="B83" s="348"/>
      <c r="C83" s="15" t="s">
        <v>96</v>
      </c>
      <c r="D83" s="13">
        <v>101</v>
      </c>
      <c r="E83" s="13">
        <f>D83*24</f>
        <v>2424</v>
      </c>
    </row>
    <row r="84" spans="1:7" x14ac:dyDescent="0.25">
      <c r="B84" s="348"/>
      <c r="C84" s="15" t="s">
        <v>53</v>
      </c>
      <c r="D84" s="13">
        <v>105</v>
      </c>
      <c r="E84" s="13">
        <f t="shared" si="3"/>
        <v>2520</v>
      </c>
    </row>
    <row r="85" spans="1:7" s="17" customFormat="1" x14ac:dyDescent="0.25">
      <c r="C85" s="16"/>
      <c r="D85" s="8"/>
    </row>
    <row r="86" spans="1:7" ht="49.5" customHeight="1" thickBot="1" x14ac:dyDescent="0.3">
      <c r="A86" s="349" t="s">
        <v>140</v>
      </c>
      <c r="B86" s="350"/>
      <c r="C86" s="350"/>
      <c r="D86" s="19" t="s">
        <v>70</v>
      </c>
      <c r="E86" s="60" t="s">
        <v>91</v>
      </c>
    </row>
    <row r="87" spans="1:7" ht="21.75" customHeight="1" x14ac:dyDescent="0.25">
      <c r="B87" s="351" t="s">
        <v>74</v>
      </c>
      <c r="C87" s="68" t="s">
        <v>45</v>
      </c>
      <c r="D87" s="178">
        <f>(4/30)</f>
        <v>0.13333333333333333</v>
      </c>
      <c r="E87" s="10" t="s">
        <v>106</v>
      </c>
    </row>
    <row r="88" spans="1:7" ht="18.75" customHeight="1" thickBot="1" x14ac:dyDescent="0.3">
      <c r="B88" s="352"/>
      <c r="C88" s="69" t="s">
        <v>12</v>
      </c>
      <c r="D88" s="179">
        <f>(3/30)</f>
        <v>0.1</v>
      </c>
      <c r="E88" s="10" t="s">
        <v>94</v>
      </c>
    </row>
    <row r="89" spans="1:7" ht="23.25" customHeight="1" x14ac:dyDescent="0.25">
      <c r="B89" s="337" t="s">
        <v>60</v>
      </c>
      <c r="C89" s="68" t="s">
        <v>45</v>
      </c>
      <c r="D89" s="180">
        <f>(8/30)</f>
        <v>0.26666666666666666</v>
      </c>
      <c r="E89" s="10" t="s">
        <v>107</v>
      </c>
    </row>
    <row r="90" spans="1:7" ht="22.5" customHeight="1" thickBot="1" x14ac:dyDescent="0.3">
      <c r="B90" s="338"/>
      <c r="C90" s="69" t="s">
        <v>12</v>
      </c>
      <c r="D90" s="181">
        <f>(3/30)</f>
        <v>0.1</v>
      </c>
      <c r="E90" s="10" t="s">
        <v>94</v>
      </c>
    </row>
    <row r="91" spans="1:7" ht="30" customHeight="1" thickBot="1" x14ac:dyDescent="0.3">
      <c r="B91" s="339" t="s">
        <v>46</v>
      </c>
      <c r="C91" s="340"/>
      <c r="D91" s="70">
        <f>(12/30+0.25)</f>
        <v>0.65</v>
      </c>
      <c r="E91" s="10" t="s">
        <v>123</v>
      </c>
    </row>
    <row r="92" spans="1:7" x14ac:dyDescent="0.25">
      <c r="B92" s="343" t="s">
        <v>13</v>
      </c>
      <c r="C92" s="344"/>
      <c r="D92" s="12">
        <f>D91</f>
        <v>0.65</v>
      </c>
      <c r="F92" s="89">
        <f>(D87+D88+D89+D90)/2</f>
        <v>0.3</v>
      </c>
    </row>
    <row r="93" spans="1:7" x14ac:dyDescent="0.25">
      <c r="B93" s="341" t="s">
        <v>14</v>
      </c>
      <c r="C93" s="342"/>
      <c r="D93" s="182">
        <f>24-D92</f>
        <v>23.35</v>
      </c>
      <c r="E93" s="144" t="s">
        <v>122</v>
      </c>
      <c r="F93" s="145">
        <f>(24-F92)</f>
        <v>23.7</v>
      </c>
      <c r="G93" s="144" t="s">
        <v>121</v>
      </c>
    </row>
    <row r="94" spans="1:7" s="17" customFormat="1" x14ac:dyDescent="0.25">
      <c r="B94" s="16"/>
      <c r="C94" s="16"/>
      <c r="D94" s="20"/>
    </row>
    <row r="96" spans="1:7" x14ac:dyDescent="0.25">
      <c r="A96" s="362" t="s">
        <v>145</v>
      </c>
      <c r="B96" s="363"/>
      <c r="C96" s="363"/>
      <c r="D96" s="364"/>
      <c r="E96" s="365"/>
    </row>
    <row r="98" spans="1:5" x14ac:dyDescent="0.25">
      <c r="A98" s="362" t="s">
        <v>146</v>
      </c>
      <c r="B98" s="363"/>
      <c r="C98" s="363"/>
      <c r="D98" s="364"/>
      <c r="E98" s="365"/>
    </row>
    <row r="99" spans="1:5" x14ac:dyDescent="0.25">
      <c r="B99" s="366" t="s">
        <v>148</v>
      </c>
      <c r="C99" s="367"/>
      <c r="D99" s="368"/>
      <c r="E99" s="369"/>
    </row>
    <row r="100" spans="1:5" x14ac:dyDescent="0.25">
      <c r="B100" s="366" t="s">
        <v>149</v>
      </c>
      <c r="C100" s="367"/>
      <c r="D100" s="368"/>
      <c r="E100" s="369"/>
    </row>
    <row r="102" spans="1:5" x14ac:dyDescent="0.25">
      <c r="A102" s="362" t="s">
        <v>147</v>
      </c>
      <c r="B102" s="363"/>
      <c r="C102" s="363"/>
      <c r="D102" s="364"/>
      <c r="E102" s="365"/>
    </row>
    <row r="103" spans="1:5" x14ac:dyDescent="0.25">
      <c r="B103" s="366" t="s">
        <v>150</v>
      </c>
      <c r="C103" s="367"/>
      <c r="D103" s="368"/>
      <c r="E103" s="369"/>
    </row>
  </sheetData>
  <mergeCells count="33">
    <mergeCell ref="A102:E102"/>
    <mergeCell ref="B103:E103"/>
    <mergeCell ref="B100:E100"/>
    <mergeCell ref="A96:E96"/>
    <mergeCell ref="A98:E98"/>
    <mergeCell ref="B99:E99"/>
    <mergeCell ref="A1:E1"/>
    <mergeCell ref="A61:C61"/>
    <mergeCell ref="B63:B84"/>
    <mergeCell ref="A86:C86"/>
    <mergeCell ref="B87:B88"/>
    <mergeCell ref="A3:E3"/>
    <mergeCell ref="A18:C19"/>
    <mergeCell ref="A16:E16"/>
    <mergeCell ref="A6:C6"/>
    <mergeCell ref="B14:C14"/>
    <mergeCell ref="B4:E4"/>
    <mergeCell ref="E18:E19"/>
    <mergeCell ref="D18:D19"/>
    <mergeCell ref="B17:E17"/>
    <mergeCell ref="B20:B26"/>
    <mergeCell ref="B8:C8"/>
    <mergeCell ref="B89:B90"/>
    <mergeCell ref="B91:C91"/>
    <mergeCell ref="B93:C93"/>
    <mergeCell ref="B92:C92"/>
    <mergeCell ref="B28:B57"/>
    <mergeCell ref="B7:C7"/>
    <mergeCell ref="B10:C10"/>
    <mergeCell ref="B9:C9"/>
    <mergeCell ref="B13:C13"/>
    <mergeCell ref="B12:C12"/>
    <mergeCell ref="B11:C11"/>
  </mergeCells>
  <pageMargins left="0.25" right="0.25" top="0.75" bottom="0.75" header="0.3" footer="0.3"/>
  <pageSetup paperSize="9" scale="47" fitToHeight="0" orientation="portrait" horizontalDpi="4294967293" r:id="rId1"/>
  <colBreaks count="1" manualBreakCount="1">
    <brk id="6" min="2" max="87" man="1"/>
  </colBreaks>
  <ignoredErrors>
    <ignoredError sqref="D8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showGridLines="0" tabSelected="1" zoomScale="90" zoomScaleNormal="90" workbookViewId="0">
      <pane xSplit="2" ySplit="4" topLeftCell="C71" activePane="bottomRight" state="frozen"/>
      <selection pane="topRight" activeCell="C1" sqref="C1"/>
      <selection pane="bottomLeft" activeCell="A4" sqref="A4"/>
      <selection pane="bottomRight" activeCell="O88" sqref="O88"/>
    </sheetView>
  </sheetViews>
  <sheetFormatPr defaultRowHeight="15" x14ac:dyDescent="0.25"/>
  <cols>
    <col min="1" max="1" width="9.140625" customWidth="1"/>
    <col min="2" max="2" width="12.5703125" customWidth="1"/>
    <col min="3" max="3" width="14.85546875" style="1" customWidth="1"/>
    <col min="4" max="4" width="37" style="1" bestFit="1" customWidth="1"/>
    <col min="5" max="5" width="14.85546875" style="1" customWidth="1"/>
    <col min="6" max="6" width="15.85546875" style="1" customWidth="1"/>
    <col min="7" max="7" width="12.5703125" style="1" customWidth="1"/>
    <col min="8" max="8" width="10.5703125" style="1" customWidth="1"/>
    <col min="9" max="9" width="14.5703125" style="1" hidden="1" customWidth="1"/>
    <col min="10" max="11" width="10.5703125" style="1" customWidth="1"/>
    <col min="12" max="12" width="18.5703125" style="1" customWidth="1"/>
    <col min="13" max="13" width="9.85546875" style="1" customWidth="1"/>
    <col min="14" max="14" width="15.5703125" style="1" bestFit="1" customWidth="1"/>
    <col min="15" max="15" width="12" customWidth="1"/>
  </cols>
  <sheetData>
    <row r="1" spans="1:18" x14ac:dyDescent="0.25">
      <c r="A1" s="321" t="s">
        <v>135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8" x14ac:dyDescent="0.25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</row>
    <row r="3" spans="1:18" ht="15.75" thickBot="1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18" s="5" customFormat="1" ht="69" customHeight="1" thickBot="1" x14ac:dyDescent="0.3">
      <c r="B4" s="214" t="s">
        <v>0</v>
      </c>
      <c r="C4" s="215" t="s">
        <v>108</v>
      </c>
      <c r="D4" s="215" t="s">
        <v>1</v>
      </c>
      <c r="E4" s="215" t="s">
        <v>133</v>
      </c>
      <c r="F4" s="215" t="s">
        <v>63</v>
      </c>
      <c r="G4" s="215" t="s">
        <v>134</v>
      </c>
      <c r="H4" s="215" t="s">
        <v>2</v>
      </c>
      <c r="I4" s="215" t="s">
        <v>92</v>
      </c>
      <c r="J4" s="215" t="s">
        <v>3</v>
      </c>
      <c r="K4" s="215" t="s">
        <v>109</v>
      </c>
      <c r="L4" s="215" t="s">
        <v>4</v>
      </c>
      <c r="M4" s="215" t="s">
        <v>151</v>
      </c>
      <c r="N4" s="215" t="s">
        <v>5</v>
      </c>
      <c r="O4" s="216" t="s">
        <v>15</v>
      </c>
    </row>
    <row r="5" spans="1:18" ht="15" customHeight="1" x14ac:dyDescent="0.25">
      <c r="A5" s="322" t="s">
        <v>103</v>
      </c>
      <c r="B5" s="325" t="s">
        <v>17</v>
      </c>
      <c r="C5" s="373">
        <v>400</v>
      </c>
      <c r="D5" s="140" t="s">
        <v>16</v>
      </c>
      <c r="E5" s="187">
        <v>0.26939999999999997</v>
      </c>
      <c r="F5" s="28">
        <v>6</v>
      </c>
      <c r="G5" s="329">
        <v>1</v>
      </c>
      <c r="H5" s="330">
        <f>SUM(Descrição!$E$9,Descrição!$E$11)</f>
        <v>0.91670000000000007</v>
      </c>
      <c r="I5" s="330">
        <v>0</v>
      </c>
      <c r="J5" s="155">
        <f>F5+G5+H5+I5</f>
        <v>7.9167000000000005</v>
      </c>
      <c r="K5" s="279">
        <f>J5*E5+J6*E6+J7*E7</f>
        <v>6.2908999999999997</v>
      </c>
      <c r="L5" s="153">
        <f>Descrição!$F$93</f>
        <v>23.7</v>
      </c>
      <c r="M5" s="279">
        <f>L5/K5</f>
        <v>3.7673464846047464</v>
      </c>
      <c r="N5" s="331">
        <f>M5*C5</f>
        <v>1506.9385938418986</v>
      </c>
      <c r="O5" s="320">
        <f>AVERAGE(N5:N7)</f>
        <v>1506.9385938418986</v>
      </c>
    </row>
    <row r="6" spans="1:18" x14ac:dyDescent="0.25">
      <c r="A6" s="323"/>
      <c r="B6" s="284"/>
      <c r="C6" s="374"/>
      <c r="D6" s="127" t="s">
        <v>64</v>
      </c>
      <c r="E6" s="188">
        <v>0.64829999999999999</v>
      </c>
      <c r="F6" s="25">
        <v>4</v>
      </c>
      <c r="G6" s="290"/>
      <c r="H6" s="293"/>
      <c r="I6" s="293"/>
      <c r="J6" s="156">
        <f>F6+G5+H5+I5</f>
        <v>5.9167000000000005</v>
      </c>
      <c r="K6" s="241"/>
      <c r="L6" s="143">
        <f>Descrição!$F$93</f>
        <v>23.7</v>
      </c>
      <c r="M6" s="241"/>
      <c r="N6" s="296"/>
      <c r="O6" s="281"/>
      <c r="P6" s="268"/>
      <c r="Q6" s="268"/>
      <c r="R6" s="268"/>
    </row>
    <row r="7" spans="1:18" x14ac:dyDescent="0.25">
      <c r="A7" s="323"/>
      <c r="B7" s="313"/>
      <c r="C7" s="375"/>
      <c r="D7" s="128" t="s">
        <v>65</v>
      </c>
      <c r="E7" s="189">
        <v>8.2299999999999998E-2</v>
      </c>
      <c r="F7" s="26">
        <v>2</v>
      </c>
      <c r="G7" s="315"/>
      <c r="H7" s="317"/>
      <c r="I7" s="317"/>
      <c r="J7" s="157">
        <f>F7+G5+H5+I5</f>
        <v>3.9167000000000001</v>
      </c>
      <c r="K7" s="255"/>
      <c r="L7" s="143">
        <f>Descrição!$F$93</f>
        <v>23.7</v>
      </c>
      <c r="M7" s="255"/>
      <c r="N7" s="299"/>
      <c r="O7" s="282"/>
      <c r="P7" s="268"/>
      <c r="Q7" s="268"/>
      <c r="R7" s="268"/>
    </row>
    <row r="8" spans="1:18" x14ac:dyDescent="0.25">
      <c r="A8" s="323"/>
      <c r="B8" s="300" t="s">
        <v>18</v>
      </c>
      <c r="C8" s="370">
        <v>550</v>
      </c>
      <c r="D8" s="126" t="s">
        <v>16</v>
      </c>
      <c r="E8" s="190">
        <v>0.26939999999999997</v>
      </c>
      <c r="F8" s="30">
        <v>6</v>
      </c>
      <c r="G8" s="318">
        <v>1</v>
      </c>
      <c r="H8" s="307">
        <f>SUM(Descrição!$E$9,Descrição!$E$11)</f>
        <v>0.91670000000000007</v>
      </c>
      <c r="I8" s="319">
        <v>0</v>
      </c>
      <c r="J8" s="158">
        <f>F8+G8+H8+I8</f>
        <v>7.9167000000000005</v>
      </c>
      <c r="K8" s="254">
        <f t="shared" ref="K8" si="0">J8*E8+J9*E9+J10*E10</f>
        <v>6.2908999999999997</v>
      </c>
      <c r="L8" s="77">
        <f>Descrição!$F$93</f>
        <v>23.7</v>
      </c>
      <c r="M8" s="254">
        <f>L8/K8</f>
        <v>3.7673464846047464</v>
      </c>
      <c r="N8" s="296">
        <f>M8*C8</f>
        <v>2072.0405665326107</v>
      </c>
      <c r="O8" s="280">
        <f>SUM(N8:N10)</f>
        <v>2072.0405665326107</v>
      </c>
      <c r="P8" s="268"/>
      <c r="Q8" s="268"/>
      <c r="R8" s="268"/>
    </row>
    <row r="9" spans="1:18" x14ac:dyDescent="0.25">
      <c r="A9" s="323"/>
      <c r="B9" s="301"/>
      <c r="C9" s="371"/>
      <c r="D9" s="74" t="s">
        <v>64</v>
      </c>
      <c r="E9" s="191">
        <v>0.64829999999999999</v>
      </c>
      <c r="F9" s="129">
        <v>4</v>
      </c>
      <c r="G9" s="305"/>
      <c r="H9" s="308"/>
      <c r="I9" s="311"/>
      <c r="J9" s="158">
        <f>+F9+G8+H8+I8</f>
        <v>5.9167000000000005</v>
      </c>
      <c r="K9" s="241"/>
      <c r="L9" s="143">
        <f>Descrição!$F$93</f>
        <v>23.7</v>
      </c>
      <c r="M9" s="241"/>
      <c r="N9" s="296"/>
      <c r="O9" s="281"/>
      <c r="P9" s="268"/>
      <c r="Q9" s="268"/>
      <c r="R9" s="268"/>
    </row>
    <row r="10" spans="1:18" x14ac:dyDescent="0.25">
      <c r="A10" s="323"/>
      <c r="B10" s="302"/>
      <c r="C10" s="372"/>
      <c r="D10" s="75" t="s">
        <v>65</v>
      </c>
      <c r="E10" s="192">
        <v>8.2299999999999998E-2</v>
      </c>
      <c r="F10" s="130">
        <v>2</v>
      </c>
      <c r="G10" s="306"/>
      <c r="H10" s="309"/>
      <c r="I10" s="312"/>
      <c r="J10" s="159">
        <f>F10+G8+H8+I8</f>
        <v>3.9167000000000001</v>
      </c>
      <c r="K10" s="255"/>
      <c r="L10" s="143">
        <f>Descrição!$F$93</f>
        <v>23.7</v>
      </c>
      <c r="M10" s="255"/>
      <c r="N10" s="299"/>
      <c r="O10" s="282"/>
    </row>
    <row r="11" spans="1:18" x14ac:dyDescent="0.25">
      <c r="A11" s="323"/>
      <c r="B11" s="283" t="s">
        <v>21</v>
      </c>
      <c r="C11" s="376">
        <v>1000</v>
      </c>
      <c r="D11" s="76" t="s">
        <v>16</v>
      </c>
      <c r="E11" s="193">
        <v>0.26939999999999997</v>
      </c>
      <c r="F11" s="27">
        <v>6</v>
      </c>
      <c r="G11" s="289">
        <v>1</v>
      </c>
      <c r="H11" s="254">
        <f>SUM(Descrição!$E$9,Descrição!$E$11)</f>
        <v>0.91670000000000007</v>
      </c>
      <c r="I11" s="292">
        <v>0</v>
      </c>
      <c r="J11" s="160">
        <f>F11+G11+H11+I11</f>
        <v>7.9167000000000005</v>
      </c>
      <c r="K11" s="254">
        <f t="shared" ref="K11" si="1">J11*E11+J12*E12+J13*E13</f>
        <v>6.2908999999999997</v>
      </c>
      <c r="L11" s="77">
        <f>Descrição!$F$93</f>
        <v>23.7</v>
      </c>
      <c r="M11" s="254">
        <f>L11/K11</f>
        <v>3.7673464846047464</v>
      </c>
      <c r="N11" s="296">
        <f>M11*C11</f>
        <v>3767.3464846047464</v>
      </c>
      <c r="O11" s="280">
        <f t="shared" ref="O11" si="2">SUM(N11:N13)</f>
        <v>3767.3464846047464</v>
      </c>
    </row>
    <row r="12" spans="1:18" x14ac:dyDescent="0.25">
      <c r="A12" s="323"/>
      <c r="B12" s="284"/>
      <c r="C12" s="377"/>
      <c r="D12" s="71" t="s">
        <v>64</v>
      </c>
      <c r="E12" s="188">
        <v>0.64829999999999999</v>
      </c>
      <c r="F12" s="25">
        <v>4</v>
      </c>
      <c r="G12" s="290"/>
      <c r="H12" s="241"/>
      <c r="I12" s="293"/>
      <c r="J12" s="156">
        <f>+F12+G11+H11</f>
        <v>5.9167000000000005</v>
      </c>
      <c r="K12" s="241"/>
      <c r="L12" s="143">
        <f>Descrição!$F$93</f>
        <v>23.7</v>
      </c>
      <c r="M12" s="241"/>
      <c r="N12" s="296"/>
      <c r="O12" s="281"/>
    </row>
    <row r="13" spans="1:18" x14ac:dyDescent="0.25">
      <c r="A13" s="323"/>
      <c r="B13" s="313"/>
      <c r="C13" s="378"/>
      <c r="D13" s="72" t="s">
        <v>65</v>
      </c>
      <c r="E13" s="189">
        <v>8.2299999999999998E-2</v>
      </c>
      <c r="F13" s="26">
        <v>2</v>
      </c>
      <c r="G13" s="315"/>
      <c r="H13" s="255"/>
      <c r="I13" s="317"/>
      <c r="J13" s="157">
        <f>F13+G11+H11+I11</f>
        <v>3.9167000000000001</v>
      </c>
      <c r="K13" s="255"/>
      <c r="L13" s="143">
        <f>Descrição!$F$93</f>
        <v>23.7</v>
      </c>
      <c r="M13" s="255"/>
      <c r="N13" s="299"/>
      <c r="O13" s="282"/>
    </row>
    <row r="14" spans="1:18" x14ac:dyDescent="0.25">
      <c r="A14" s="323"/>
      <c r="B14" s="300" t="s">
        <v>24</v>
      </c>
      <c r="C14" s="370">
        <v>250</v>
      </c>
      <c r="D14" s="73" t="s">
        <v>16</v>
      </c>
      <c r="E14" s="194">
        <v>0.26939999999999997</v>
      </c>
      <c r="F14" s="30">
        <v>6</v>
      </c>
      <c r="G14" s="318">
        <v>1</v>
      </c>
      <c r="H14" s="307">
        <f>SUM(Descrição!$E$9,Descrição!$E$11)</f>
        <v>0.91670000000000007</v>
      </c>
      <c r="I14" s="319">
        <v>0</v>
      </c>
      <c r="J14" s="158">
        <f>F14+G14+H14+I14</f>
        <v>7.9167000000000005</v>
      </c>
      <c r="K14" s="254">
        <f t="shared" ref="K14" si="3">J14*E14+J15*E15+J16*E16</f>
        <v>6.2908999999999997</v>
      </c>
      <c r="L14" s="77">
        <f>Descrição!$F$93</f>
        <v>23.7</v>
      </c>
      <c r="M14" s="254">
        <f>L14/K14</f>
        <v>3.7673464846047464</v>
      </c>
      <c r="N14" s="296">
        <f>M14*C14</f>
        <v>941.83662115118659</v>
      </c>
      <c r="O14" s="280">
        <f>SUM(N14:N16)</f>
        <v>941.83662115118659</v>
      </c>
    </row>
    <row r="15" spans="1:18" x14ac:dyDescent="0.25">
      <c r="A15" s="323"/>
      <c r="B15" s="301"/>
      <c r="C15" s="371"/>
      <c r="D15" s="74" t="s">
        <v>64</v>
      </c>
      <c r="E15" s="191">
        <v>0.64829999999999999</v>
      </c>
      <c r="F15" s="129">
        <v>4</v>
      </c>
      <c r="G15" s="305"/>
      <c r="H15" s="308"/>
      <c r="I15" s="311"/>
      <c r="J15" s="158">
        <f>+F15+G14+H14+I14</f>
        <v>5.9167000000000005</v>
      </c>
      <c r="K15" s="241"/>
      <c r="L15" s="143">
        <f>Descrição!$F$93</f>
        <v>23.7</v>
      </c>
      <c r="M15" s="241"/>
      <c r="N15" s="296"/>
      <c r="O15" s="281"/>
      <c r="Q15" s="173"/>
    </row>
    <row r="16" spans="1:18" x14ac:dyDescent="0.25">
      <c r="A16" s="323"/>
      <c r="B16" s="302"/>
      <c r="C16" s="372"/>
      <c r="D16" s="75" t="s">
        <v>65</v>
      </c>
      <c r="E16" s="192">
        <v>8.2299999999999998E-2</v>
      </c>
      <c r="F16" s="130">
        <v>2</v>
      </c>
      <c r="G16" s="306"/>
      <c r="H16" s="309"/>
      <c r="I16" s="312"/>
      <c r="J16" s="159">
        <f>F16+G14+H14+I14</f>
        <v>3.9167000000000001</v>
      </c>
      <c r="K16" s="255"/>
      <c r="L16" s="26">
        <f>Descrição!$F$93</f>
        <v>23.7</v>
      </c>
      <c r="M16" s="255"/>
      <c r="N16" s="299"/>
      <c r="O16" s="282"/>
    </row>
    <row r="17" spans="1:18" x14ac:dyDescent="0.25">
      <c r="A17" s="323"/>
      <c r="B17" s="283" t="s">
        <v>30</v>
      </c>
      <c r="C17" s="376">
        <v>120</v>
      </c>
      <c r="D17" s="76" t="s">
        <v>16</v>
      </c>
      <c r="E17" s="195">
        <v>0.26939999999999997</v>
      </c>
      <c r="F17" s="27">
        <v>6</v>
      </c>
      <c r="G17" s="314">
        <v>1</v>
      </c>
      <c r="H17" s="254">
        <f>SUM(Descrição!$E$9,Descrição!$E$11)</f>
        <v>0.91670000000000007</v>
      </c>
      <c r="I17" s="316">
        <v>0</v>
      </c>
      <c r="J17" s="160">
        <f>F17+G17+H17+I17</f>
        <v>7.9167000000000005</v>
      </c>
      <c r="K17" s="254">
        <f t="shared" ref="K17" si="4">J17*E17+J18*E18+J19*E19</f>
        <v>6.2908999999999997</v>
      </c>
      <c r="L17" s="151">
        <f>Descrição!$F$93</f>
        <v>23.7</v>
      </c>
      <c r="M17" s="254">
        <f>L17/K17</f>
        <v>3.7673464846047464</v>
      </c>
      <c r="N17" s="295">
        <f>M17*C17</f>
        <v>452.08157815256959</v>
      </c>
      <c r="O17" s="280">
        <f>SUM(N17:N19)</f>
        <v>452.08157815256959</v>
      </c>
    </row>
    <row r="18" spans="1:18" x14ac:dyDescent="0.25">
      <c r="A18" s="323"/>
      <c r="B18" s="284"/>
      <c r="C18" s="377"/>
      <c r="D18" s="71" t="s">
        <v>64</v>
      </c>
      <c r="E18" s="196">
        <v>0.64829999999999999</v>
      </c>
      <c r="F18" s="25">
        <v>4</v>
      </c>
      <c r="G18" s="290"/>
      <c r="H18" s="241"/>
      <c r="I18" s="293"/>
      <c r="J18" s="156">
        <f>+F18+G17+H17+I17</f>
        <v>5.9167000000000005</v>
      </c>
      <c r="K18" s="241"/>
      <c r="L18" s="143">
        <f>Descrição!$F$93</f>
        <v>23.7</v>
      </c>
      <c r="M18" s="241"/>
      <c r="N18" s="296"/>
      <c r="O18" s="281"/>
    </row>
    <row r="19" spans="1:18" x14ac:dyDescent="0.25">
      <c r="A19" s="323"/>
      <c r="B19" s="313"/>
      <c r="C19" s="378"/>
      <c r="D19" s="72" t="s">
        <v>65</v>
      </c>
      <c r="E19" s="197">
        <v>8.2299999999999998E-2</v>
      </c>
      <c r="F19" s="26">
        <v>2</v>
      </c>
      <c r="G19" s="315"/>
      <c r="H19" s="255"/>
      <c r="I19" s="317"/>
      <c r="J19" s="157">
        <f>F19+G17+H17+I17</f>
        <v>3.9167000000000001</v>
      </c>
      <c r="K19" s="255"/>
      <c r="L19" s="26">
        <f>Descrição!$F$93</f>
        <v>23.7</v>
      </c>
      <c r="M19" s="255"/>
      <c r="N19" s="299"/>
      <c r="O19" s="282"/>
    </row>
    <row r="20" spans="1:18" x14ac:dyDescent="0.25">
      <c r="A20" s="323"/>
      <c r="B20" s="300" t="s">
        <v>31</v>
      </c>
      <c r="C20" s="370">
        <v>650</v>
      </c>
      <c r="D20" s="73" t="s">
        <v>16</v>
      </c>
      <c r="E20" s="198">
        <v>0.26939999999999997</v>
      </c>
      <c r="F20" s="30">
        <v>6</v>
      </c>
      <c r="G20" s="304">
        <v>1</v>
      </c>
      <c r="H20" s="307">
        <f>SUM(Descrição!$E$9,Descrição!$E$11)</f>
        <v>0.91670000000000007</v>
      </c>
      <c r="I20" s="310">
        <v>0</v>
      </c>
      <c r="J20" s="158">
        <f>F20+G20+H20+I20</f>
        <v>7.9167000000000005</v>
      </c>
      <c r="K20" s="254">
        <f t="shared" ref="K20" si="5">J20*E20+J21*E21+J22*E22</f>
        <v>6.2908999999999997</v>
      </c>
      <c r="L20" s="151">
        <f>Descrição!$F$93</f>
        <v>23.7</v>
      </c>
      <c r="M20" s="254">
        <f>L20/K20</f>
        <v>3.7673464846047464</v>
      </c>
      <c r="N20" s="295">
        <f>M20*C20</f>
        <v>2448.7752149930852</v>
      </c>
      <c r="O20" s="280">
        <f t="shared" ref="O20" si="6">SUM(N20:N22)</f>
        <v>2448.7752149930852</v>
      </c>
    </row>
    <row r="21" spans="1:18" x14ac:dyDescent="0.25">
      <c r="A21" s="323"/>
      <c r="B21" s="301"/>
      <c r="C21" s="371"/>
      <c r="D21" s="74" t="s">
        <v>64</v>
      </c>
      <c r="E21" s="191">
        <v>0.64829999999999999</v>
      </c>
      <c r="F21" s="129">
        <v>4</v>
      </c>
      <c r="G21" s="305"/>
      <c r="H21" s="308"/>
      <c r="I21" s="311"/>
      <c r="J21" s="158">
        <f>+F21+G20+H20+I20</f>
        <v>5.9167000000000005</v>
      </c>
      <c r="K21" s="241"/>
      <c r="L21" s="143">
        <f>Descrição!$F$93</f>
        <v>23.7</v>
      </c>
      <c r="M21" s="241"/>
      <c r="N21" s="296"/>
      <c r="O21" s="281"/>
    </row>
    <row r="22" spans="1:18" x14ac:dyDescent="0.25">
      <c r="A22" s="323"/>
      <c r="B22" s="302"/>
      <c r="C22" s="372"/>
      <c r="D22" s="75" t="s">
        <v>65</v>
      </c>
      <c r="E22" s="192">
        <v>8.2299999999999998E-2</v>
      </c>
      <c r="F22" s="130">
        <v>2</v>
      </c>
      <c r="G22" s="306"/>
      <c r="H22" s="309"/>
      <c r="I22" s="312"/>
      <c r="J22" s="159">
        <f>F22+G20+H20+I20</f>
        <v>3.9167000000000001</v>
      </c>
      <c r="K22" s="255"/>
      <c r="L22" s="143">
        <f>Descrição!$F$93</f>
        <v>23.7</v>
      </c>
      <c r="M22" s="255"/>
      <c r="N22" s="299"/>
      <c r="O22" s="282"/>
    </row>
    <row r="23" spans="1:18" x14ac:dyDescent="0.25">
      <c r="A23" s="323"/>
      <c r="B23" s="283" t="s">
        <v>33</v>
      </c>
      <c r="C23" s="376">
        <v>1000</v>
      </c>
      <c r="D23" s="76" t="s">
        <v>16</v>
      </c>
      <c r="E23" s="199">
        <v>0.26939999999999997</v>
      </c>
      <c r="F23" s="27">
        <v>6</v>
      </c>
      <c r="G23" s="289">
        <v>1</v>
      </c>
      <c r="H23" s="254">
        <f>SUM(Descrição!$E$9,Descrição!$E$11)</f>
        <v>0.91670000000000007</v>
      </c>
      <c r="I23" s="292">
        <v>0</v>
      </c>
      <c r="J23" s="160">
        <f>F23+G23+H23+I23</f>
        <v>7.9167000000000005</v>
      </c>
      <c r="K23" s="254">
        <f>J23*E23+J24*E24+J25*E25</f>
        <v>6.2908999999999997</v>
      </c>
      <c r="L23" s="77">
        <f>Descrição!$F$93</f>
        <v>23.7</v>
      </c>
      <c r="M23" s="254">
        <f>L23/K23</f>
        <v>3.7673464846047464</v>
      </c>
      <c r="N23" s="295">
        <f>M23*C23</f>
        <v>3767.3464846047464</v>
      </c>
      <c r="O23" s="280">
        <f>SUM(N23:N25)</f>
        <v>3767.3464846047464</v>
      </c>
    </row>
    <row r="24" spans="1:18" x14ac:dyDescent="0.25">
      <c r="A24" s="323"/>
      <c r="B24" s="284"/>
      <c r="C24" s="377"/>
      <c r="D24" s="71" t="s">
        <v>64</v>
      </c>
      <c r="E24" s="188">
        <v>0.64829999999999999</v>
      </c>
      <c r="F24" s="25">
        <v>4</v>
      </c>
      <c r="G24" s="290"/>
      <c r="H24" s="241"/>
      <c r="I24" s="293"/>
      <c r="J24" s="156">
        <f>+F24+G23+H23+I23</f>
        <v>5.9167000000000005</v>
      </c>
      <c r="K24" s="241"/>
      <c r="L24" s="143">
        <f>Descrição!$F$93</f>
        <v>23.7</v>
      </c>
      <c r="M24" s="241"/>
      <c r="N24" s="296"/>
      <c r="O24" s="281"/>
    </row>
    <row r="25" spans="1:18" ht="15.75" thickBot="1" x14ac:dyDescent="0.3">
      <c r="A25" s="324"/>
      <c r="B25" s="285"/>
      <c r="C25" s="379"/>
      <c r="D25" s="78" t="s">
        <v>65</v>
      </c>
      <c r="E25" s="200">
        <v>8.2299999999999998E-2</v>
      </c>
      <c r="F25" s="29">
        <v>2</v>
      </c>
      <c r="G25" s="291"/>
      <c r="H25" s="242"/>
      <c r="I25" s="294"/>
      <c r="J25" s="161">
        <f>F25+G23+H23+I23</f>
        <v>3.9167000000000001</v>
      </c>
      <c r="K25" s="242"/>
      <c r="L25" s="29">
        <f>Descrição!$F$93</f>
        <v>23.7</v>
      </c>
      <c r="M25" s="242"/>
      <c r="N25" s="297"/>
      <c r="O25" s="298"/>
    </row>
    <row r="26" spans="1:18" s="40" customFormat="1" ht="4.5" customHeight="1" thickBot="1" x14ac:dyDescent="0.3">
      <c r="A26" s="146"/>
      <c r="B26" s="146"/>
      <c r="C26" s="147"/>
      <c r="D26" s="147"/>
      <c r="E26" s="201"/>
      <c r="F26" s="147"/>
      <c r="G26" s="185"/>
      <c r="H26" s="147"/>
      <c r="I26" s="147"/>
      <c r="J26" s="147"/>
      <c r="K26" s="147"/>
      <c r="L26" s="147"/>
      <c r="M26" s="172"/>
      <c r="N26" s="185"/>
      <c r="O26" s="186"/>
    </row>
    <row r="27" spans="1:18" x14ac:dyDescent="0.25">
      <c r="A27" s="269" t="s">
        <v>60</v>
      </c>
      <c r="B27" s="272" t="s">
        <v>19</v>
      </c>
      <c r="C27" s="382">
        <v>750</v>
      </c>
      <c r="D27" s="41" t="s">
        <v>66</v>
      </c>
      <c r="E27" s="85">
        <v>0.6</v>
      </c>
      <c r="F27" s="42">
        <v>10</v>
      </c>
      <c r="G27" s="202">
        <v>2</v>
      </c>
      <c r="H27" s="278">
        <f>SUM(Descrição!$E$9,Descrição!$E$11)</f>
        <v>0.91670000000000007</v>
      </c>
      <c r="I27" s="43">
        <v>0</v>
      </c>
      <c r="J27" s="121">
        <f>F27+G27+$H$27</f>
        <v>12.916700000000001</v>
      </c>
      <c r="K27" s="279">
        <f>E27*J27+E28*J28+E29*J29+E30*J30</f>
        <v>12.146700000000003</v>
      </c>
      <c r="L27" s="153">
        <f>Descrição!$F$93</f>
        <v>23.7</v>
      </c>
      <c r="M27" s="279">
        <f>L27/K27</f>
        <v>1.9511472251722686</v>
      </c>
      <c r="N27" s="266">
        <f>M27*C27</f>
        <v>1463.3604188792015</v>
      </c>
      <c r="O27" s="267">
        <f>SUM(N27:N30)</f>
        <v>1463.3604188792015</v>
      </c>
    </row>
    <row r="28" spans="1:18" x14ac:dyDescent="0.25">
      <c r="A28" s="270"/>
      <c r="B28" s="273"/>
      <c r="C28" s="383"/>
      <c r="D28" s="35" t="s">
        <v>67</v>
      </c>
      <c r="E28" s="36">
        <v>0.14000000000000001</v>
      </c>
      <c r="F28" s="37">
        <v>14</v>
      </c>
      <c r="G28" s="203">
        <v>3</v>
      </c>
      <c r="H28" s="239"/>
      <c r="I28" s="61">
        <v>0</v>
      </c>
      <c r="J28" s="63">
        <f t="shared" ref="J28:J86" si="7">F28+G28+$H$27</f>
        <v>17.916699999999999</v>
      </c>
      <c r="K28" s="241"/>
      <c r="L28" s="25">
        <f>Descrição!$F$93</f>
        <v>23.7</v>
      </c>
      <c r="M28" s="241"/>
      <c r="N28" s="243"/>
      <c r="O28" s="232"/>
    </row>
    <row r="29" spans="1:18" x14ac:dyDescent="0.25">
      <c r="A29" s="270"/>
      <c r="B29" s="274"/>
      <c r="C29" s="384"/>
      <c r="D29" s="82" t="s">
        <v>104</v>
      </c>
      <c r="E29" s="36">
        <v>7.0000000000000007E-2</v>
      </c>
      <c r="F29" s="37">
        <v>7</v>
      </c>
      <c r="G29" s="203">
        <v>3</v>
      </c>
      <c r="H29" s="239"/>
      <c r="I29" s="61">
        <v>0</v>
      </c>
      <c r="J29" s="63">
        <f t="shared" si="7"/>
        <v>10.916700000000001</v>
      </c>
      <c r="K29" s="241"/>
      <c r="L29" s="25">
        <f>Descrição!$F$93</f>
        <v>23.7</v>
      </c>
      <c r="M29" s="241"/>
      <c r="N29" s="243"/>
      <c r="O29" s="232"/>
      <c r="P29" s="268"/>
      <c r="Q29" s="268"/>
      <c r="R29" s="268"/>
    </row>
    <row r="30" spans="1:18" x14ac:dyDescent="0.25">
      <c r="A30" s="270"/>
      <c r="B30" s="154"/>
      <c r="C30" s="90"/>
      <c r="D30" s="86" t="s">
        <v>105</v>
      </c>
      <c r="E30" s="38">
        <v>0.19</v>
      </c>
      <c r="F30" s="39">
        <v>4</v>
      </c>
      <c r="G30" s="204">
        <v>1</v>
      </c>
      <c r="H30" s="253"/>
      <c r="I30" s="62">
        <v>0</v>
      </c>
      <c r="J30" s="81">
        <f t="shared" si="7"/>
        <v>5.9167000000000005</v>
      </c>
      <c r="K30" s="255"/>
      <c r="L30" s="143">
        <f>Descrição!$F$93</f>
        <v>23.7</v>
      </c>
      <c r="M30" s="255"/>
      <c r="N30" s="256"/>
      <c r="O30" s="246"/>
      <c r="P30" s="268"/>
      <c r="Q30" s="268"/>
      <c r="R30" s="268"/>
    </row>
    <row r="31" spans="1:18" x14ac:dyDescent="0.25">
      <c r="A31" s="270"/>
      <c r="B31" s="247" t="s">
        <v>20</v>
      </c>
      <c r="C31" s="250">
        <v>180</v>
      </c>
      <c r="D31" s="110" t="s">
        <v>66</v>
      </c>
      <c r="E31" s="97">
        <v>0.6</v>
      </c>
      <c r="F31" s="98">
        <v>10</v>
      </c>
      <c r="G31" s="205">
        <v>2</v>
      </c>
      <c r="H31" s="238">
        <f>SUM(Descrição!$E$9,Descrição!$E$11)</f>
        <v>0.91670000000000007</v>
      </c>
      <c r="I31" s="99">
        <v>0</v>
      </c>
      <c r="J31" s="118">
        <f>F31+G31+$H$27</f>
        <v>12.916700000000001</v>
      </c>
      <c r="K31" s="241">
        <f t="shared" ref="K31" si="8">E31*J31+E32*J32+E33*J33+E34*J34</f>
        <v>12.146700000000003</v>
      </c>
      <c r="L31" s="152">
        <f>Descrição!$F$93</f>
        <v>23.7</v>
      </c>
      <c r="M31" s="241">
        <f>L31/K31</f>
        <v>1.9511472251722686</v>
      </c>
      <c r="N31" s="243">
        <f>M31*C31</f>
        <v>351.20650053100832</v>
      </c>
      <c r="O31" s="245">
        <f t="shared" ref="O31" si="9">SUM(N31:N34)</f>
        <v>351.20650053100832</v>
      </c>
      <c r="P31" s="268"/>
      <c r="Q31" s="268"/>
      <c r="R31" s="268"/>
    </row>
    <row r="32" spans="1:18" x14ac:dyDescent="0.25">
      <c r="A32" s="270"/>
      <c r="B32" s="248"/>
      <c r="C32" s="251"/>
      <c r="D32" s="91" t="s">
        <v>67</v>
      </c>
      <c r="E32" s="92">
        <v>0.14000000000000001</v>
      </c>
      <c r="F32" s="93">
        <v>14</v>
      </c>
      <c r="G32" s="206">
        <v>3</v>
      </c>
      <c r="H32" s="239"/>
      <c r="I32" s="94">
        <v>0</v>
      </c>
      <c r="J32" s="95">
        <f t="shared" si="7"/>
        <v>17.916699999999999</v>
      </c>
      <c r="K32" s="241"/>
      <c r="L32" s="25">
        <f>Descrição!$F$93</f>
        <v>23.7</v>
      </c>
      <c r="M32" s="241"/>
      <c r="N32" s="243"/>
      <c r="O32" s="232"/>
      <c r="P32" s="268"/>
      <c r="Q32" s="268"/>
      <c r="R32" s="268"/>
    </row>
    <row r="33" spans="1:15" x14ac:dyDescent="0.25">
      <c r="A33" s="270"/>
      <c r="B33" s="248"/>
      <c r="C33" s="251"/>
      <c r="D33" s="101" t="s">
        <v>104</v>
      </c>
      <c r="E33" s="92">
        <v>7.0000000000000007E-2</v>
      </c>
      <c r="F33" s="93">
        <v>7</v>
      </c>
      <c r="G33" s="206">
        <v>3</v>
      </c>
      <c r="H33" s="239"/>
      <c r="I33" s="94">
        <v>0</v>
      </c>
      <c r="J33" s="95">
        <f t="shared" si="7"/>
        <v>10.916700000000001</v>
      </c>
      <c r="K33" s="241"/>
      <c r="L33" s="25">
        <f>Descrição!$F$93</f>
        <v>23.7</v>
      </c>
      <c r="M33" s="241"/>
      <c r="N33" s="243"/>
      <c r="O33" s="232"/>
    </row>
    <row r="34" spans="1:15" x14ac:dyDescent="0.25">
      <c r="A34" s="270"/>
      <c r="B34" s="249"/>
      <c r="C34" s="252"/>
      <c r="D34" s="113" t="s">
        <v>105</v>
      </c>
      <c r="E34" s="102">
        <v>0.19</v>
      </c>
      <c r="F34" s="103">
        <v>4</v>
      </c>
      <c r="G34" s="207">
        <v>1</v>
      </c>
      <c r="H34" s="253"/>
      <c r="I34" s="100">
        <v>0</v>
      </c>
      <c r="J34" s="104">
        <f t="shared" si="7"/>
        <v>5.9167000000000005</v>
      </c>
      <c r="K34" s="241"/>
      <c r="L34" s="143">
        <f>Descrição!$F$93</f>
        <v>23.7</v>
      </c>
      <c r="M34" s="241"/>
      <c r="N34" s="256"/>
      <c r="O34" s="246"/>
    </row>
    <row r="35" spans="1:15" x14ac:dyDescent="0.25">
      <c r="A35" s="270"/>
      <c r="B35" s="257" t="s">
        <v>22</v>
      </c>
      <c r="C35" s="380">
        <v>1250</v>
      </c>
      <c r="D35" s="31" t="s">
        <v>66</v>
      </c>
      <c r="E35" s="131">
        <v>0.6</v>
      </c>
      <c r="F35" s="33">
        <v>10</v>
      </c>
      <c r="G35" s="208">
        <v>2</v>
      </c>
      <c r="H35" s="238">
        <f>SUM(Descrição!$E$9,Descrição!$E$11)</f>
        <v>0.91670000000000007</v>
      </c>
      <c r="I35" s="34">
        <v>0</v>
      </c>
      <c r="J35" s="119">
        <f t="shared" si="7"/>
        <v>12.916700000000001</v>
      </c>
      <c r="K35" s="254">
        <f t="shared" ref="K35" si="10">E35*J35+E36*J36+E37*J37+E38*J38</f>
        <v>12.146700000000003</v>
      </c>
      <c r="L35" s="152">
        <f>Descrição!$F$93</f>
        <v>23.7</v>
      </c>
      <c r="M35" s="254">
        <f>L35/K35</f>
        <v>1.9511472251722686</v>
      </c>
      <c r="N35" s="262">
        <f>M35*C35</f>
        <v>2438.9340314653359</v>
      </c>
      <c r="O35" s="245">
        <f t="shared" ref="O35" si="11">SUM(N35:N38)</f>
        <v>2438.9340314653359</v>
      </c>
    </row>
    <row r="36" spans="1:15" x14ac:dyDescent="0.25">
      <c r="A36" s="270"/>
      <c r="B36" s="234"/>
      <c r="C36" s="236"/>
      <c r="D36" s="35" t="s">
        <v>67</v>
      </c>
      <c r="E36" s="132">
        <v>0.14000000000000001</v>
      </c>
      <c r="F36" s="37">
        <v>14</v>
      </c>
      <c r="G36" s="203">
        <v>3</v>
      </c>
      <c r="H36" s="239"/>
      <c r="I36" s="61">
        <v>0</v>
      </c>
      <c r="J36" s="63">
        <f t="shared" si="7"/>
        <v>17.916699999999999</v>
      </c>
      <c r="K36" s="241"/>
      <c r="L36" s="25">
        <f>Descrição!$F$93</f>
        <v>23.7</v>
      </c>
      <c r="M36" s="241"/>
      <c r="N36" s="243"/>
      <c r="O36" s="232"/>
    </row>
    <row r="37" spans="1:15" x14ac:dyDescent="0.25">
      <c r="A37" s="270"/>
      <c r="B37" s="234"/>
      <c r="C37" s="236"/>
      <c r="D37" s="35" t="s">
        <v>104</v>
      </c>
      <c r="E37" s="132">
        <v>7.0000000000000007E-2</v>
      </c>
      <c r="F37" s="37">
        <v>7</v>
      </c>
      <c r="G37" s="203">
        <v>3</v>
      </c>
      <c r="H37" s="239"/>
      <c r="I37" s="61">
        <v>0</v>
      </c>
      <c r="J37" s="63">
        <f t="shared" si="7"/>
        <v>10.916700000000001</v>
      </c>
      <c r="K37" s="241"/>
      <c r="L37" s="25">
        <f>Descrição!$F$93</f>
        <v>23.7</v>
      </c>
      <c r="M37" s="241"/>
      <c r="N37" s="243"/>
      <c r="O37" s="232"/>
    </row>
    <row r="38" spans="1:15" x14ac:dyDescent="0.25">
      <c r="A38" s="270"/>
      <c r="B38" s="258"/>
      <c r="C38" s="381"/>
      <c r="D38" s="86" t="s">
        <v>105</v>
      </c>
      <c r="E38" s="133">
        <v>0.19</v>
      </c>
      <c r="F38" s="83">
        <v>4</v>
      </c>
      <c r="G38" s="209">
        <v>1</v>
      </c>
      <c r="H38" s="253"/>
      <c r="I38" s="80">
        <v>0</v>
      </c>
      <c r="J38" s="84">
        <f t="shared" si="7"/>
        <v>5.9167000000000005</v>
      </c>
      <c r="K38" s="255"/>
      <c r="L38" s="26">
        <f>Descrição!$F$93</f>
        <v>23.7</v>
      </c>
      <c r="M38" s="241"/>
      <c r="N38" s="243"/>
      <c r="O38" s="246"/>
    </row>
    <row r="39" spans="1:15" x14ac:dyDescent="0.25">
      <c r="A39" s="270"/>
      <c r="B39" s="247" t="s">
        <v>23</v>
      </c>
      <c r="C39" s="250">
        <v>750</v>
      </c>
      <c r="D39" s="110" t="s">
        <v>66</v>
      </c>
      <c r="E39" s="134">
        <v>0.6</v>
      </c>
      <c r="F39" s="111">
        <v>10</v>
      </c>
      <c r="G39" s="210">
        <v>2</v>
      </c>
      <c r="H39" s="238">
        <f>SUM(Descrição!$E$9,Descrição!$E$11)</f>
        <v>0.91670000000000007</v>
      </c>
      <c r="I39" s="112">
        <v>0</v>
      </c>
      <c r="J39" s="120">
        <f t="shared" si="7"/>
        <v>12.916700000000001</v>
      </c>
      <c r="K39" s="241">
        <f t="shared" ref="K39" si="12">E39*J39+E40*J40+E41*J41+E42*J42</f>
        <v>12.146700000000003</v>
      </c>
      <c r="L39" s="151">
        <f>Descrição!$F$93</f>
        <v>23.7</v>
      </c>
      <c r="M39" s="254">
        <f>L39/K39</f>
        <v>1.9511472251722686</v>
      </c>
      <c r="N39" s="262">
        <f>M39*C39</f>
        <v>1463.3604188792015</v>
      </c>
      <c r="O39" s="245">
        <f t="shared" ref="O39" si="13">SUM(N39:N42)</f>
        <v>1463.3604188792015</v>
      </c>
    </row>
    <row r="40" spans="1:15" x14ac:dyDescent="0.25">
      <c r="A40" s="270"/>
      <c r="B40" s="248"/>
      <c r="C40" s="251"/>
      <c r="D40" s="91" t="s">
        <v>67</v>
      </c>
      <c r="E40" s="135">
        <v>0.14000000000000001</v>
      </c>
      <c r="F40" s="93">
        <v>14</v>
      </c>
      <c r="G40" s="206">
        <v>3</v>
      </c>
      <c r="H40" s="239"/>
      <c r="I40" s="94">
        <v>0</v>
      </c>
      <c r="J40" s="95">
        <f t="shared" si="7"/>
        <v>17.916699999999999</v>
      </c>
      <c r="K40" s="241"/>
      <c r="L40" s="25">
        <f>Descrição!$F$93</f>
        <v>23.7</v>
      </c>
      <c r="M40" s="241"/>
      <c r="N40" s="243"/>
      <c r="O40" s="232"/>
    </row>
    <row r="41" spans="1:15" x14ac:dyDescent="0.25">
      <c r="A41" s="270"/>
      <c r="B41" s="248"/>
      <c r="C41" s="251"/>
      <c r="D41" s="91" t="s">
        <v>104</v>
      </c>
      <c r="E41" s="135">
        <v>7.0000000000000007E-2</v>
      </c>
      <c r="F41" s="93">
        <v>7</v>
      </c>
      <c r="G41" s="206">
        <v>3</v>
      </c>
      <c r="H41" s="239"/>
      <c r="I41" s="94">
        <v>0</v>
      </c>
      <c r="J41" s="95">
        <f t="shared" si="7"/>
        <v>10.916700000000001</v>
      </c>
      <c r="K41" s="241"/>
      <c r="L41" s="25">
        <f>Descrição!$F$93</f>
        <v>23.7</v>
      </c>
      <c r="M41" s="241"/>
      <c r="N41" s="243"/>
      <c r="O41" s="232"/>
    </row>
    <row r="42" spans="1:15" x14ac:dyDescent="0.25">
      <c r="A42" s="270"/>
      <c r="B42" s="249"/>
      <c r="C42" s="252"/>
      <c r="D42" s="113" t="s">
        <v>105</v>
      </c>
      <c r="E42" s="136">
        <v>0.19</v>
      </c>
      <c r="F42" s="115">
        <v>4</v>
      </c>
      <c r="G42" s="211">
        <v>1</v>
      </c>
      <c r="H42" s="253"/>
      <c r="I42" s="116">
        <v>0</v>
      </c>
      <c r="J42" s="117">
        <f t="shared" si="7"/>
        <v>5.9167000000000005</v>
      </c>
      <c r="K42" s="241"/>
      <c r="L42" s="26">
        <f>Descrição!$F$93</f>
        <v>23.7</v>
      </c>
      <c r="M42" s="255"/>
      <c r="N42" s="256"/>
      <c r="O42" s="246"/>
    </row>
    <row r="43" spans="1:15" x14ac:dyDescent="0.25">
      <c r="A43" s="270"/>
      <c r="B43" s="257" t="s">
        <v>25</v>
      </c>
      <c r="C43" s="380">
        <v>200</v>
      </c>
      <c r="D43" s="31" t="s">
        <v>66</v>
      </c>
      <c r="E43" s="137">
        <v>0.6</v>
      </c>
      <c r="F43" s="107">
        <v>10</v>
      </c>
      <c r="G43" s="212">
        <v>2</v>
      </c>
      <c r="H43" s="238">
        <f>SUM(Descrição!$E$9,Descrição!$E$11)</f>
        <v>0.91670000000000007</v>
      </c>
      <c r="I43" s="108">
        <v>0</v>
      </c>
      <c r="J43" s="109">
        <f t="shared" si="7"/>
        <v>12.916700000000001</v>
      </c>
      <c r="K43" s="254">
        <f t="shared" ref="K43" si="14">E43*J43+E44*J44+E45*J45+E46*J46</f>
        <v>12.146700000000003</v>
      </c>
      <c r="L43" s="151">
        <f>Descrição!$F$93</f>
        <v>23.7</v>
      </c>
      <c r="M43" s="241">
        <f>L43/K43</f>
        <v>1.9511472251722686</v>
      </c>
      <c r="N43" s="243">
        <f>M43*C43</f>
        <v>390.2294450344537</v>
      </c>
      <c r="O43" s="245">
        <f t="shared" ref="O43" si="15">SUM(N43:N46)</f>
        <v>390.2294450344537</v>
      </c>
    </row>
    <row r="44" spans="1:15" x14ac:dyDescent="0.25">
      <c r="A44" s="270"/>
      <c r="B44" s="234"/>
      <c r="C44" s="236"/>
      <c r="D44" s="35" t="s">
        <v>67</v>
      </c>
      <c r="E44" s="132">
        <v>0.14000000000000001</v>
      </c>
      <c r="F44" s="37">
        <v>14</v>
      </c>
      <c r="G44" s="203">
        <v>3</v>
      </c>
      <c r="H44" s="239"/>
      <c r="I44" s="61">
        <v>0</v>
      </c>
      <c r="J44" s="63">
        <f t="shared" si="7"/>
        <v>17.916699999999999</v>
      </c>
      <c r="K44" s="241"/>
      <c r="L44" s="25">
        <f>Descrição!$F$93</f>
        <v>23.7</v>
      </c>
      <c r="M44" s="241"/>
      <c r="N44" s="243"/>
      <c r="O44" s="232"/>
    </row>
    <row r="45" spans="1:15" x14ac:dyDescent="0.25">
      <c r="A45" s="270"/>
      <c r="B45" s="234"/>
      <c r="C45" s="236"/>
      <c r="D45" s="35" t="s">
        <v>104</v>
      </c>
      <c r="E45" s="132">
        <v>7.0000000000000007E-2</v>
      </c>
      <c r="F45" s="37">
        <v>7</v>
      </c>
      <c r="G45" s="203">
        <v>3</v>
      </c>
      <c r="H45" s="239"/>
      <c r="I45" s="61">
        <v>0</v>
      </c>
      <c r="J45" s="63">
        <f t="shared" si="7"/>
        <v>10.916700000000001</v>
      </c>
      <c r="K45" s="241"/>
      <c r="L45" s="25">
        <f>Descrição!$F$93</f>
        <v>23.7</v>
      </c>
      <c r="M45" s="241"/>
      <c r="N45" s="243"/>
      <c r="O45" s="232"/>
    </row>
    <row r="46" spans="1:15" x14ac:dyDescent="0.25">
      <c r="A46" s="270"/>
      <c r="B46" s="258"/>
      <c r="C46" s="381"/>
      <c r="D46" s="86" t="s">
        <v>105</v>
      </c>
      <c r="E46" s="138">
        <v>0.19</v>
      </c>
      <c r="F46" s="39">
        <v>4</v>
      </c>
      <c r="G46" s="204">
        <v>1</v>
      </c>
      <c r="H46" s="253"/>
      <c r="I46" s="62">
        <v>0</v>
      </c>
      <c r="J46" s="81">
        <f t="shared" si="7"/>
        <v>5.9167000000000005</v>
      </c>
      <c r="K46" s="255"/>
      <c r="L46" s="143">
        <f>Descrição!$F$93</f>
        <v>23.7</v>
      </c>
      <c r="M46" s="255"/>
      <c r="N46" s="256"/>
      <c r="O46" s="246"/>
    </row>
    <row r="47" spans="1:15" x14ac:dyDescent="0.25">
      <c r="A47" s="270"/>
      <c r="B47" s="247" t="s">
        <v>26</v>
      </c>
      <c r="C47" s="250">
        <v>400</v>
      </c>
      <c r="D47" s="110" t="s">
        <v>66</v>
      </c>
      <c r="E47" s="134">
        <v>0.6</v>
      </c>
      <c r="F47" s="98">
        <v>10</v>
      </c>
      <c r="G47" s="210">
        <v>2</v>
      </c>
      <c r="H47" s="238">
        <f>SUM(Descrição!$E$9,Descrição!$E$11)</f>
        <v>0.91670000000000007</v>
      </c>
      <c r="I47" s="112">
        <v>0</v>
      </c>
      <c r="J47" s="120">
        <f t="shared" si="7"/>
        <v>12.916700000000001</v>
      </c>
      <c r="K47" s="241">
        <f t="shared" ref="K47" si="16">E47*J47+E48*J48+E49*J49+E50*J50</f>
        <v>12.146700000000003</v>
      </c>
      <c r="L47" s="77">
        <f>Descrição!$F$93</f>
        <v>23.7</v>
      </c>
      <c r="M47" s="254">
        <f>L47/K47</f>
        <v>1.9511472251722686</v>
      </c>
      <c r="N47" s="262">
        <f>M47*C47</f>
        <v>780.45889006890741</v>
      </c>
      <c r="O47" s="245">
        <f t="shared" ref="O47" si="17">SUM(N47:N50)</f>
        <v>780.45889006890741</v>
      </c>
    </row>
    <row r="48" spans="1:15" x14ac:dyDescent="0.25">
      <c r="A48" s="270"/>
      <c r="B48" s="248"/>
      <c r="C48" s="251"/>
      <c r="D48" s="91" t="s">
        <v>67</v>
      </c>
      <c r="E48" s="135">
        <v>0.14000000000000001</v>
      </c>
      <c r="F48" s="93">
        <v>14</v>
      </c>
      <c r="G48" s="206">
        <v>3</v>
      </c>
      <c r="H48" s="239"/>
      <c r="I48" s="94">
        <v>0</v>
      </c>
      <c r="J48" s="95">
        <f t="shared" si="7"/>
        <v>17.916699999999999</v>
      </c>
      <c r="K48" s="241"/>
      <c r="L48" s="27">
        <f>Descrição!$F$93</f>
        <v>23.7</v>
      </c>
      <c r="M48" s="241"/>
      <c r="N48" s="243"/>
      <c r="O48" s="232"/>
    </row>
    <row r="49" spans="1:15" x14ac:dyDescent="0.25">
      <c r="A49" s="270"/>
      <c r="B49" s="248"/>
      <c r="C49" s="251"/>
      <c r="D49" s="91" t="s">
        <v>104</v>
      </c>
      <c r="E49" s="135">
        <v>7.0000000000000007E-2</v>
      </c>
      <c r="F49" s="93">
        <v>7</v>
      </c>
      <c r="G49" s="206">
        <v>3</v>
      </c>
      <c r="H49" s="239"/>
      <c r="I49" s="94">
        <v>0</v>
      </c>
      <c r="J49" s="95">
        <f t="shared" si="7"/>
        <v>10.916700000000001</v>
      </c>
      <c r="K49" s="241"/>
      <c r="L49" s="25">
        <f>Descrição!$F$93</f>
        <v>23.7</v>
      </c>
      <c r="M49" s="241"/>
      <c r="N49" s="243"/>
      <c r="O49" s="232"/>
    </row>
    <row r="50" spans="1:15" x14ac:dyDescent="0.25">
      <c r="A50" s="270"/>
      <c r="B50" s="249"/>
      <c r="C50" s="252"/>
      <c r="D50" s="113" t="s">
        <v>105</v>
      </c>
      <c r="E50" s="136">
        <v>0.19</v>
      </c>
      <c r="F50" s="103">
        <v>4</v>
      </c>
      <c r="G50" s="211">
        <v>1</v>
      </c>
      <c r="H50" s="253"/>
      <c r="I50" s="116">
        <v>0</v>
      </c>
      <c r="J50" s="117">
        <f t="shared" si="7"/>
        <v>5.9167000000000005</v>
      </c>
      <c r="K50" s="241"/>
      <c r="L50" s="26">
        <f>Descrição!$F$93</f>
        <v>23.7</v>
      </c>
      <c r="M50" s="255"/>
      <c r="N50" s="256"/>
      <c r="O50" s="246"/>
    </row>
    <row r="51" spans="1:15" x14ac:dyDescent="0.25">
      <c r="A51" s="270"/>
      <c r="B51" s="257" t="s">
        <v>27</v>
      </c>
      <c r="C51" s="380">
        <v>600</v>
      </c>
      <c r="D51" s="31" t="s">
        <v>66</v>
      </c>
      <c r="E51" s="137">
        <v>0.6</v>
      </c>
      <c r="F51" s="33">
        <v>10</v>
      </c>
      <c r="G51" s="212">
        <v>2</v>
      </c>
      <c r="H51" s="238">
        <f>SUM(Descrição!$E$9,Descrição!$E$11)</f>
        <v>0.91670000000000007</v>
      </c>
      <c r="I51" s="108">
        <v>0</v>
      </c>
      <c r="J51" s="109">
        <f t="shared" si="7"/>
        <v>12.916700000000001</v>
      </c>
      <c r="K51" s="254">
        <f t="shared" ref="K51" si="18">E51*J51+E52*J52+E53*J53+E54*J54</f>
        <v>12.019400000000003</v>
      </c>
      <c r="L51" s="151">
        <f>Descrição!$F$93</f>
        <v>23.7</v>
      </c>
      <c r="M51" s="241">
        <f>L51/K51</f>
        <v>1.9718122368837041</v>
      </c>
      <c r="N51" s="243">
        <f>M51*C51</f>
        <v>1183.0873421302224</v>
      </c>
      <c r="O51" s="245">
        <f t="shared" ref="O51" si="19">SUM(N51:N54)</f>
        <v>1183.0873421302224</v>
      </c>
    </row>
    <row r="52" spans="1:15" x14ac:dyDescent="0.25">
      <c r="A52" s="270"/>
      <c r="B52" s="234"/>
      <c r="C52" s="236"/>
      <c r="D52" s="35" t="s">
        <v>67</v>
      </c>
      <c r="E52" s="132">
        <v>0.14000000000000001</v>
      </c>
      <c r="F52" s="37">
        <v>14</v>
      </c>
      <c r="G52" s="203">
        <v>3</v>
      </c>
      <c r="H52" s="239"/>
      <c r="I52" s="61">
        <v>0</v>
      </c>
      <c r="J52" s="63">
        <f t="shared" si="7"/>
        <v>17.916699999999999</v>
      </c>
      <c r="K52" s="241"/>
      <c r="L52" s="25">
        <f>Descrição!$F$93</f>
        <v>23.7</v>
      </c>
      <c r="M52" s="241"/>
      <c r="N52" s="243"/>
      <c r="O52" s="232"/>
    </row>
    <row r="53" spans="1:15" x14ac:dyDescent="0.25">
      <c r="A53" s="270"/>
      <c r="B53" s="234"/>
      <c r="C53" s="236"/>
      <c r="D53" s="35" t="s">
        <v>104</v>
      </c>
      <c r="E53" s="132">
        <v>7.0000000000000007E-2</v>
      </c>
      <c r="F53" s="37">
        <v>7</v>
      </c>
      <c r="G53" s="203">
        <v>3</v>
      </c>
      <c r="H53" s="239"/>
      <c r="I53" s="61">
        <v>0</v>
      </c>
      <c r="J53" s="63">
        <f t="shared" si="7"/>
        <v>10.916700000000001</v>
      </c>
      <c r="K53" s="241"/>
      <c r="L53" s="25">
        <f>Descrição!$F$93</f>
        <v>23.7</v>
      </c>
      <c r="M53" s="241"/>
      <c r="N53" s="243"/>
      <c r="O53" s="232"/>
    </row>
    <row r="54" spans="1:15" x14ac:dyDescent="0.25">
      <c r="A54" s="270"/>
      <c r="B54" s="258"/>
      <c r="C54" s="381"/>
      <c r="D54" s="86" t="s">
        <v>105</v>
      </c>
      <c r="E54" s="138">
        <v>0.19</v>
      </c>
      <c r="F54" s="83">
        <v>4</v>
      </c>
      <c r="G54" s="204">
        <v>0.33</v>
      </c>
      <c r="H54" s="253"/>
      <c r="I54" s="62">
        <v>0</v>
      </c>
      <c r="J54" s="81">
        <f t="shared" si="7"/>
        <v>5.2467000000000006</v>
      </c>
      <c r="K54" s="255"/>
      <c r="L54" s="26">
        <f>Descrição!$F$93</f>
        <v>23.7</v>
      </c>
      <c r="M54" s="255"/>
      <c r="N54" s="256"/>
      <c r="O54" s="246"/>
    </row>
    <row r="55" spans="1:15" ht="14.25" customHeight="1" x14ac:dyDescent="0.25">
      <c r="A55" s="270"/>
      <c r="B55" s="247" t="s">
        <v>28</v>
      </c>
      <c r="C55" s="250">
        <v>1250</v>
      </c>
      <c r="D55" s="110" t="s">
        <v>66</v>
      </c>
      <c r="E55" s="139">
        <v>0.6</v>
      </c>
      <c r="F55" s="111">
        <v>10</v>
      </c>
      <c r="G55" s="205">
        <v>2</v>
      </c>
      <c r="H55" s="238">
        <f>SUM(Descrição!$E$9,Descrição!$E$11)</f>
        <v>0.91670000000000007</v>
      </c>
      <c r="I55" s="99">
        <v>0</v>
      </c>
      <c r="J55" s="118">
        <f t="shared" si="7"/>
        <v>12.916700000000001</v>
      </c>
      <c r="K55" s="241">
        <f t="shared" ref="K55" si="20">E55*J55+E56*J56+E57*J57+E58*J58</f>
        <v>12.146700000000003</v>
      </c>
      <c r="L55" s="151">
        <f>Descrição!$F$93</f>
        <v>23.7</v>
      </c>
      <c r="M55" s="241">
        <f>L55/K55</f>
        <v>1.9511472251722686</v>
      </c>
      <c r="N55" s="243">
        <f>M55*C55</f>
        <v>2438.9340314653359</v>
      </c>
      <c r="O55" s="245">
        <f t="shared" ref="O55" si="21">SUM(N55:N58)</f>
        <v>2438.9340314653359</v>
      </c>
    </row>
    <row r="56" spans="1:15" ht="14.25" customHeight="1" x14ac:dyDescent="0.25">
      <c r="A56" s="270"/>
      <c r="B56" s="248"/>
      <c r="C56" s="251"/>
      <c r="D56" s="91" t="s">
        <v>67</v>
      </c>
      <c r="E56" s="135">
        <v>0.14000000000000001</v>
      </c>
      <c r="F56" s="93">
        <v>14</v>
      </c>
      <c r="G56" s="206">
        <v>3</v>
      </c>
      <c r="H56" s="239"/>
      <c r="I56" s="94">
        <v>0</v>
      </c>
      <c r="J56" s="95">
        <f t="shared" si="7"/>
        <v>17.916699999999999</v>
      </c>
      <c r="K56" s="241"/>
      <c r="L56" s="25">
        <f>Descrição!$F$93</f>
        <v>23.7</v>
      </c>
      <c r="M56" s="241"/>
      <c r="N56" s="243"/>
      <c r="O56" s="232"/>
    </row>
    <row r="57" spans="1:15" x14ac:dyDescent="0.25">
      <c r="A57" s="270"/>
      <c r="B57" s="248"/>
      <c r="C57" s="251"/>
      <c r="D57" s="91" t="s">
        <v>104</v>
      </c>
      <c r="E57" s="135">
        <v>7.0000000000000007E-2</v>
      </c>
      <c r="F57" s="93">
        <v>7</v>
      </c>
      <c r="G57" s="206">
        <v>3</v>
      </c>
      <c r="H57" s="239"/>
      <c r="I57" s="94">
        <v>0</v>
      </c>
      <c r="J57" s="95">
        <f t="shared" si="7"/>
        <v>10.916700000000001</v>
      </c>
      <c r="K57" s="241"/>
      <c r="L57" s="25">
        <f>Descrição!$F$93</f>
        <v>23.7</v>
      </c>
      <c r="M57" s="241"/>
      <c r="N57" s="243"/>
      <c r="O57" s="232"/>
    </row>
    <row r="58" spans="1:15" x14ac:dyDescent="0.25">
      <c r="A58" s="270"/>
      <c r="B58" s="249"/>
      <c r="C58" s="252"/>
      <c r="D58" s="113" t="s">
        <v>105</v>
      </c>
      <c r="E58" s="136">
        <v>0.19</v>
      </c>
      <c r="F58" s="115">
        <v>4</v>
      </c>
      <c r="G58" s="211">
        <v>1</v>
      </c>
      <c r="H58" s="253"/>
      <c r="I58" s="116">
        <v>0</v>
      </c>
      <c r="J58" s="117">
        <f t="shared" si="7"/>
        <v>5.9167000000000005</v>
      </c>
      <c r="K58" s="241"/>
      <c r="L58" s="143">
        <f>Descrição!$F$93</f>
        <v>23.7</v>
      </c>
      <c r="M58" s="255"/>
      <c r="N58" s="256"/>
      <c r="O58" s="246"/>
    </row>
    <row r="59" spans="1:15" x14ac:dyDescent="0.25">
      <c r="A59" s="270"/>
      <c r="B59" s="257" t="s">
        <v>29</v>
      </c>
      <c r="C59" s="380">
        <v>1250</v>
      </c>
      <c r="D59" s="31" t="s">
        <v>66</v>
      </c>
      <c r="E59" s="137">
        <v>0.6</v>
      </c>
      <c r="F59" s="107">
        <v>10</v>
      </c>
      <c r="G59" s="212">
        <v>2</v>
      </c>
      <c r="H59" s="238">
        <f>SUM(Descrição!$E$9,Descrição!$E$11)</f>
        <v>0.91670000000000007</v>
      </c>
      <c r="I59" s="108">
        <v>0</v>
      </c>
      <c r="J59" s="109">
        <f t="shared" si="7"/>
        <v>12.916700000000001</v>
      </c>
      <c r="K59" s="254">
        <f t="shared" ref="K59" si="22">E59*J59+E60*J60+E61*J61+E62*J62</f>
        <v>12.146700000000003</v>
      </c>
      <c r="L59" s="152">
        <f>Descrição!$F$93</f>
        <v>23.7</v>
      </c>
      <c r="M59" s="241">
        <f>L59/K59</f>
        <v>1.9511472251722686</v>
      </c>
      <c r="N59" s="243">
        <f>M59*C59</f>
        <v>2438.9340314653359</v>
      </c>
      <c r="O59" s="245">
        <f t="shared" ref="O59" si="23">SUM(N59:N62)</f>
        <v>2438.9340314653359</v>
      </c>
    </row>
    <row r="60" spans="1:15" x14ac:dyDescent="0.25">
      <c r="A60" s="270"/>
      <c r="B60" s="234"/>
      <c r="C60" s="236"/>
      <c r="D60" s="35" t="s">
        <v>67</v>
      </c>
      <c r="E60" s="132">
        <v>0.14000000000000001</v>
      </c>
      <c r="F60" s="37">
        <v>14</v>
      </c>
      <c r="G60" s="203">
        <v>3</v>
      </c>
      <c r="H60" s="239"/>
      <c r="I60" s="61">
        <v>0</v>
      </c>
      <c r="J60" s="63">
        <f t="shared" si="7"/>
        <v>17.916699999999999</v>
      </c>
      <c r="K60" s="241"/>
      <c r="L60" s="25">
        <f>Descrição!$F$93</f>
        <v>23.7</v>
      </c>
      <c r="M60" s="241"/>
      <c r="N60" s="243"/>
      <c r="O60" s="232"/>
    </row>
    <row r="61" spans="1:15" x14ac:dyDescent="0.25">
      <c r="A61" s="270"/>
      <c r="B61" s="234"/>
      <c r="C61" s="236"/>
      <c r="D61" s="35" t="s">
        <v>104</v>
      </c>
      <c r="E61" s="132">
        <v>7.0000000000000007E-2</v>
      </c>
      <c r="F61" s="37">
        <v>7</v>
      </c>
      <c r="G61" s="203">
        <v>3</v>
      </c>
      <c r="H61" s="239"/>
      <c r="I61" s="61">
        <v>0</v>
      </c>
      <c r="J61" s="63">
        <f t="shared" si="7"/>
        <v>10.916700000000001</v>
      </c>
      <c r="K61" s="241"/>
      <c r="L61" s="25">
        <f>Descrição!$F$93</f>
        <v>23.7</v>
      </c>
      <c r="M61" s="241"/>
      <c r="N61" s="243"/>
      <c r="O61" s="232"/>
    </row>
    <row r="62" spans="1:15" x14ac:dyDescent="0.25">
      <c r="A62" s="270"/>
      <c r="B62" s="258"/>
      <c r="C62" s="381"/>
      <c r="D62" s="86" t="s">
        <v>105</v>
      </c>
      <c r="E62" s="138">
        <v>0.19</v>
      </c>
      <c r="F62" s="39">
        <v>4</v>
      </c>
      <c r="G62" s="204">
        <v>1</v>
      </c>
      <c r="H62" s="253"/>
      <c r="I62" s="62">
        <v>0</v>
      </c>
      <c r="J62" s="81">
        <f t="shared" si="7"/>
        <v>5.9167000000000005</v>
      </c>
      <c r="K62" s="255"/>
      <c r="L62" s="143">
        <f>Descrição!$F$93</f>
        <v>23.7</v>
      </c>
      <c r="M62" s="255"/>
      <c r="N62" s="256"/>
      <c r="O62" s="246"/>
    </row>
    <row r="63" spans="1:15" x14ac:dyDescent="0.25">
      <c r="A63" s="270"/>
      <c r="B63" s="247" t="s">
        <v>32</v>
      </c>
      <c r="C63" s="250">
        <v>300</v>
      </c>
      <c r="D63" s="110" t="s">
        <v>66</v>
      </c>
      <c r="E63" s="139">
        <v>0.6</v>
      </c>
      <c r="F63" s="98">
        <v>10</v>
      </c>
      <c r="G63" s="205">
        <v>2</v>
      </c>
      <c r="H63" s="238">
        <f>SUM(Descrição!$E$9,Descrição!$E$11)</f>
        <v>0.91670000000000007</v>
      </c>
      <c r="I63" s="99">
        <v>0</v>
      </c>
      <c r="J63" s="118">
        <f t="shared" si="7"/>
        <v>12.916700000000001</v>
      </c>
      <c r="K63" s="254">
        <f t="shared" ref="K63" si="24">E63*J63+E64*J64+E65*J65+E66*J66</f>
        <v>12.146700000000003</v>
      </c>
      <c r="L63" s="152">
        <f>Descrição!$F$93</f>
        <v>23.7</v>
      </c>
      <c r="M63" s="241">
        <f>L63/K63</f>
        <v>1.9511472251722686</v>
      </c>
      <c r="N63" s="243">
        <f>M63*C63</f>
        <v>585.34416755168058</v>
      </c>
      <c r="O63" s="245">
        <f t="shared" ref="O63" si="25">SUM(N63:N66)</f>
        <v>585.34416755168058</v>
      </c>
    </row>
    <row r="64" spans="1:15" x14ac:dyDescent="0.25">
      <c r="A64" s="270"/>
      <c r="B64" s="248"/>
      <c r="C64" s="251"/>
      <c r="D64" s="91" t="s">
        <v>67</v>
      </c>
      <c r="E64" s="135">
        <v>0.14000000000000001</v>
      </c>
      <c r="F64" s="93">
        <v>14</v>
      </c>
      <c r="G64" s="206">
        <v>3</v>
      </c>
      <c r="H64" s="239"/>
      <c r="I64" s="94">
        <v>0</v>
      </c>
      <c r="J64" s="95">
        <f t="shared" si="7"/>
        <v>17.916699999999999</v>
      </c>
      <c r="K64" s="241"/>
      <c r="L64" s="25">
        <f>Descrição!$F$93</f>
        <v>23.7</v>
      </c>
      <c r="M64" s="241"/>
      <c r="N64" s="243"/>
      <c r="O64" s="232"/>
    </row>
    <row r="65" spans="1:15" x14ac:dyDescent="0.25">
      <c r="A65" s="270"/>
      <c r="B65" s="248"/>
      <c r="C65" s="251"/>
      <c r="D65" s="91" t="s">
        <v>104</v>
      </c>
      <c r="E65" s="135">
        <v>7.0000000000000007E-2</v>
      </c>
      <c r="F65" s="93">
        <v>7</v>
      </c>
      <c r="G65" s="206">
        <v>3</v>
      </c>
      <c r="H65" s="239"/>
      <c r="I65" s="94">
        <v>0</v>
      </c>
      <c r="J65" s="95">
        <f t="shared" si="7"/>
        <v>10.916700000000001</v>
      </c>
      <c r="K65" s="241"/>
      <c r="L65" s="25">
        <f>Descrição!$F$93</f>
        <v>23.7</v>
      </c>
      <c r="M65" s="241"/>
      <c r="N65" s="243"/>
      <c r="O65" s="232"/>
    </row>
    <row r="66" spans="1:15" x14ac:dyDescent="0.25">
      <c r="A66" s="270"/>
      <c r="B66" s="249"/>
      <c r="C66" s="252"/>
      <c r="D66" s="113" t="s">
        <v>105</v>
      </c>
      <c r="E66" s="136">
        <v>0.19</v>
      </c>
      <c r="F66" s="103">
        <v>4</v>
      </c>
      <c r="G66" s="211">
        <v>1</v>
      </c>
      <c r="H66" s="253"/>
      <c r="I66" s="116">
        <v>0</v>
      </c>
      <c r="J66" s="117">
        <f t="shared" si="7"/>
        <v>5.9167000000000005</v>
      </c>
      <c r="K66" s="255"/>
      <c r="L66" s="143">
        <f>Descrição!$F$93</f>
        <v>23.7</v>
      </c>
      <c r="M66" s="255"/>
      <c r="N66" s="256"/>
      <c r="O66" s="246"/>
    </row>
    <row r="67" spans="1:15" x14ac:dyDescent="0.25">
      <c r="A67" s="270"/>
      <c r="B67" s="234" t="s">
        <v>34</v>
      </c>
      <c r="C67" s="380">
        <v>350</v>
      </c>
      <c r="D67" s="105" t="s">
        <v>66</v>
      </c>
      <c r="E67" s="137">
        <v>0.6</v>
      </c>
      <c r="F67" s="33">
        <v>10</v>
      </c>
      <c r="G67" s="212">
        <v>2</v>
      </c>
      <c r="H67" s="238">
        <f>SUM(Descrição!$E$9,Descrição!$E$11)</f>
        <v>0.91670000000000007</v>
      </c>
      <c r="I67" s="108">
        <v>0</v>
      </c>
      <c r="J67" s="109">
        <f t="shared" si="7"/>
        <v>12.916700000000001</v>
      </c>
      <c r="K67" s="241">
        <f t="shared" ref="K67" si="26">E67*J67+E68*J68+E69*J69+E70*J70</f>
        <v>12.146700000000003</v>
      </c>
      <c r="L67" s="152">
        <f>Descrição!$F$93</f>
        <v>23.7</v>
      </c>
      <c r="M67" s="241">
        <f>L67/K67</f>
        <v>1.9511472251722686</v>
      </c>
      <c r="N67" s="243">
        <f>M67*C67</f>
        <v>682.90152881029405</v>
      </c>
      <c r="O67" s="245">
        <f t="shared" ref="O67" si="27">SUM(N67:N70)</f>
        <v>682.90152881029405</v>
      </c>
    </row>
    <row r="68" spans="1:15" x14ac:dyDescent="0.25">
      <c r="A68" s="270"/>
      <c r="B68" s="234"/>
      <c r="C68" s="236"/>
      <c r="D68" s="35" t="s">
        <v>67</v>
      </c>
      <c r="E68" s="132">
        <v>0.14000000000000001</v>
      </c>
      <c r="F68" s="37">
        <v>14</v>
      </c>
      <c r="G68" s="203">
        <v>3</v>
      </c>
      <c r="H68" s="239"/>
      <c r="I68" s="61">
        <v>0</v>
      </c>
      <c r="J68" s="63">
        <f t="shared" si="7"/>
        <v>17.916699999999999</v>
      </c>
      <c r="K68" s="241"/>
      <c r="L68" s="25">
        <f>Descrição!$F$93</f>
        <v>23.7</v>
      </c>
      <c r="M68" s="241"/>
      <c r="N68" s="243"/>
      <c r="O68" s="232"/>
    </row>
    <row r="69" spans="1:15" x14ac:dyDescent="0.25">
      <c r="A69" s="270"/>
      <c r="B69" s="234"/>
      <c r="C69" s="236"/>
      <c r="D69" s="35" t="s">
        <v>104</v>
      </c>
      <c r="E69" s="132">
        <v>7.0000000000000007E-2</v>
      </c>
      <c r="F69" s="37">
        <v>7</v>
      </c>
      <c r="G69" s="203">
        <v>3</v>
      </c>
      <c r="H69" s="239"/>
      <c r="I69" s="61">
        <v>0</v>
      </c>
      <c r="J69" s="63">
        <f t="shared" si="7"/>
        <v>10.916700000000001</v>
      </c>
      <c r="K69" s="241"/>
      <c r="L69" s="25">
        <f>Descrição!$F$93</f>
        <v>23.7</v>
      </c>
      <c r="M69" s="241"/>
      <c r="N69" s="243"/>
      <c r="O69" s="232"/>
    </row>
    <row r="70" spans="1:15" x14ac:dyDescent="0.25">
      <c r="A70" s="270"/>
      <c r="B70" s="258"/>
      <c r="C70" s="381"/>
      <c r="D70" s="86" t="s">
        <v>105</v>
      </c>
      <c r="E70" s="38">
        <v>0.19</v>
      </c>
      <c r="F70" s="83">
        <v>4</v>
      </c>
      <c r="G70" s="204">
        <v>1</v>
      </c>
      <c r="H70" s="253"/>
      <c r="I70" s="62">
        <v>0</v>
      </c>
      <c r="J70" s="81">
        <f t="shared" si="7"/>
        <v>5.9167000000000005</v>
      </c>
      <c r="K70" s="241"/>
      <c r="L70" s="26">
        <f>Descrição!$F$93</f>
        <v>23.7</v>
      </c>
      <c r="M70" s="255"/>
      <c r="N70" s="256"/>
      <c r="O70" s="246"/>
    </row>
    <row r="71" spans="1:15" x14ac:dyDescent="0.25">
      <c r="A71" s="270"/>
      <c r="B71" s="247" t="s">
        <v>41</v>
      </c>
      <c r="C71" s="250">
        <v>940</v>
      </c>
      <c r="D71" s="96" t="s">
        <v>66</v>
      </c>
      <c r="E71" s="97">
        <v>0.6</v>
      </c>
      <c r="F71" s="111">
        <v>10</v>
      </c>
      <c r="G71" s="205">
        <v>2</v>
      </c>
      <c r="H71" s="238">
        <f>SUM(Descrição!$E$9,Descrição!$E$11)</f>
        <v>0.91670000000000007</v>
      </c>
      <c r="I71" s="99">
        <v>0</v>
      </c>
      <c r="J71" s="118">
        <f t="shared" si="7"/>
        <v>12.916700000000001</v>
      </c>
      <c r="K71" s="254">
        <f t="shared" ref="K71" si="28">E71*J71+E72*J72+E73*J73+E74*J74</f>
        <v>12.146700000000003</v>
      </c>
      <c r="L71" s="151">
        <f>Descrição!$F$93</f>
        <v>23.7</v>
      </c>
      <c r="M71" s="241">
        <f>L71/K71</f>
        <v>1.9511472251722686</v>
      </c>
      <c r="N71" s="243">
        <f>M71*C71</f>
        <v>1834.0783916619325</v>
      </c>
      <c r="O71" s="245">
        <f t="shared" ref="O71" si="29">SUM(N71:N74)</f>
        <v>1834.0783916619325</v>
      </c>
    </row>
    <row r="72" spans="1:15" x14ac:dyDescent="0.25">
      <c r="A72" s="270"/>
      <c r="B72" s="248"/>
      <c r="C72" s="251"/>
      <c r="D72" s="91" t="s">
        <v>67</v>
      </c>
      <c r="E72" s="92">
        <v>0.14000000000000001</v>
      </c>
      <c r="F72" s="93">
        <v>14</v>
      </c>
      <c r="G72" s="206">
        <v>3</v>
      </c>
      <c r="H72" s="239"/>
      <c r="I72" s="94">
        <v>0</v>
      </c>
      <c r="J72" s="95">
        <f>F72+G72+$H$27</f>
        <v>17.916699999999999</v>
      </c>
      <c r="K72" s="241"/>
      <c r="L72" s="25">
        <f>Descrição!$F$93</f>
        <v>23.7</v>
      </c>
      <c r="M72" s="241"/>
      <c r="N72" s="243"/>
      <c r="O72" s="232"/>
    </row>
    <row r="73" spans="1:15" x14ac:dyDescent="0.25">
      <c r="A73" s="270"/>
      <c r="B73" s="248"/>
      <c r="C73" s="251"/>
      <c r="D73" s="91" t="s">
        <v>104</v>
      </c>
      <c r="E73" s="92">
        <v>7.0000000000000007E-2</v>
      </c>
      <c r="F73" s="93">
        <v>7</v>
      </c>
      <c r="G73" s="206">
        <v>3</v>
      </c>
      <c r="H73" s="239"/>
      <c r="I73" s="94">
        <v>0</v>
      </c>
      <c r="J73" s="95">
        <f t="shared" si="7"/>
        <v>10.916700000000001</v>
      </c>
      <c r="K73" s="241"/>
      <c r="L73" s="25">
        <f>Descrição!$F$93</f>
        <v>23.7</v>
      </c>
      <c r="M73" s="241"/>
      <c r="N73" s="243"/>
      <c r="O73" s="232"/>
    </row>
    <row r="74" spans="1:15" x14ac:dyDescent="0.25">
      <c r="A74" s="270"/>
      <c r="B74" s="249"/>
      <c r="C74" s="252"/>
      <c r="D74" s="101" t="s">
        <v>105</v>
      </c>
      <c r="E74" s="102">
        <v>0.19</v>
      </c>
      <c r="F74" s="115">
        <v>4</v>
      </c>
      <c r="G74" s="207">
        <v>1</v>
      </c>
      <c r="H74" s="253"/>
      <c r="I74" s="100">
        <v>0</v>
      </c>
      <c r="J74" s="104">
        <f t="shared" si="7"/>
        <v>5.9167000000000005</v>
      </c>
      <c r="K74" s="255"/>
      <c r="L74" s="143">
        <f>Descrição!$F$93</f>
        <v>23.7</v>
      </c>
      <c r="M74" s="241"/>
      <c r="N74" s="243"/>
      <c r="O74" s="246"/>
    </row>
    <row r="75" spans="1:15" x14ac:dyDescent="0.25">
      <c r="A75" s="270"/>
      <c r="B75" s="257" t="s">
        <v>42</v>
      </c>
      <c r="C75" s="259">
        <v>1250</v>
      </c>
      <c r="D75" s="123" t="s">
        <v>66</v>
      </c>
      <c r="E75" s="32">
        <v>0.6</v>
      </c>
      <c r="F75" s="33">
        <v>10</v>
      </c>
      <c r="G75" s="208">
        <v>2</v>
      </c>
      <c r="H75" s="238">
        <f>SUM(Descrição!$E$9,Descrição!$E$11)</f>
        <v>0.91670000000000007</v>
      </c>
      <c r="I75" s="34">
        <v>0</v>
      </c>
      <c r="J75" s="119">
        <f t="shared" si="7"/>
        <v>12.916700000000001</v>
      </c>
      <c r="K75" s="241">
        <f t="shared" ref="K75" si="30">E75*J75+E76*J76+E77*J77+E78*J78</f>
        <v>12.146700000000003</v>
      </c>
      <c r="L75" s="152">
        <f>Descrição!$F$93</f>
        <v>23.7</v>
      </c>
      <c r="M75" s="254">
        <f>L75/K75</f>
        <v>1.9511472251722686</v>
      </c>
      <c r="N75" s="262">
        <f>M75*C75</f>
        <v>2438.9340314653359</v>
      </c>
      <c r="O75" s="245">
        <f t="shared" ref="O75" si="31">SUM(N75:N78)</f>
        <v>2438.9340314653359</v>
      </c>
    </row>
    <row r="76" spans="1:15" x14ac:dyDescent="0.25">
      <c r="A76" s="270"/>
      <c r="B76" s="234"/>
      <c r="C76" s="260"/>
      <c r="D76" s="124" t="s">
        <v>67</v>
      </c>
      <c r="E76" s="36">
        <v>0.14000000000000001</v>
      </c>
      <c r="F76" s="37">
        <v>14</v>
      </c>
      <c r="G76" s="203">
        <v>3</v>
      </c>
      <c r="H76" s="239"/>
      <c r="I76" s="61">
        <v>0</v>
      </c>
      <c r="J76" s="63">
        <f t="shared" si="7"/>
        <v>17.916699999999999</v>
      </c>
      <c r="K76" s="241"/>
      <c r="L76" s="25">
        <f>Descrição!$F$93</f>
        <v>23.7</v>
      </c>
      <c r="M76" s="241"/>
      <c r="N76" s="243"/>
      <c r="O76" s="232"/>
    </row>
    <row r="77" spans="1:15" x14ac:dyDescent="0.25">
      <c r="A77" s="270"/>
      <c r="B77" s="234"/>
      <c r="C77" s="260"/>
      <c r="D77" s="124" t="s">
        <v>104</v>
      </c>
      <c r="E77" s="36">
        <v>7.0000000000000007E-2</v>
      </c>
      <c r="F77" s="37">
        <v>7</v>
      </c>
      <c r="G77" s="203">
        <v>3</v>
      </c>
      <c r="H77" s="239"/>
      <c r="I77" s="61">
        <v>0</v>
      </c>
      <c r="J77" s="63">
        <f t="shared" si="7"/>
        <v>10.916700000000001</v>
      </c>
      <c r="K77" s="241"/>
      <c r="L77" s="25">
        <f>Descrição!$F$93</f>
        <v>23.7</v>
      </c>
      <c r="M77" s="241"/>
      <c r="N77" s="243"/>
      <c r="O77" s="232"/>
    </row>
    <row r="78" spans="1:15" x14ac:dyDescent="0.25">
      <c r="A78" s="270"/>
      <c r="B78" s="258"/>
      <c r="C78" s="261"/>
      <c r="D78" s="125" t="s">
        <v>105</v>
      </c>
      <c r="E78" s="38">
        <v>0.19</v>
      </c>
      <c r="F78" s="83">
        <v>4</v>
      </c>
      <c r="G78" s="204">
        <v>1</v>
      </c>
      <c r="H78" s="253"/>
      <c r="I78" s="62">
        <v>0</v>
      </c>
      <c r="J78" s="81">
        <f t="shared" si="7"/>
        <v>5.9167000000000005</v>
      </c>
      <c r="K78" s="241"/>
      <c r="L78" s="26">
        <f>Descrição!$F$93</f>
        <v>23.7</v>
      </c>
      <c r="M78" s="255"/>
      <c r="N78" s="256"/>
      <c r="O78" s="246"/>
    </row>
    <row r="79" spans="1:15" x14ac:dyDescent="0.25">
      <c r="A79" s="270"/>
      <c r="B79" s="247" t="s">
        <v>43</v>
      </c>
      <c r="C79" s="250">
        <v>940</v>
      </c>
      <c r="D79" s="96" t="s">
        <v>66</v>
      </c>
      <c r="E79" s="97">
        <v>0.6</v>
      </c>
      <c r="F79" s="111">
        <v>10</v>
      </c>
      <c r="G79" s="205">
        <v>2</v>
      </c>
      <c r="H79" s="238">
        <f>SUM(Descrição!$E$9,Descrição!$E$11)</f>
        <v>0.91670000000000007</v>
      </c>
      <c r="I79" s="99">
        <v>0</v>
      </c>
      <c r="J79" s="118">
        <f t="shared" si="7"/>
        <v>12.916700000000001</v>
      </c>
      <c r="K79" s="254">
        <f t="shared" ref="K79" si="32">E79*J79+E80*J80+E81*J81+E82*J82</f>
        <v>12.146700000000003</v>
      </c>
      <c r="L79" s="151">
        <f>Descrição!$F$93</f>
        <v>23.7</v>
      </c>
      <c r="M79" s="241">
        <f>L79/K79</f>
        <v>1.9511472251722686</v>
      </c>
      <c r="N79" s="243">
        <f>M79*C79</f>
        <v>1834.0783916619325</v>
      </c>
      <c r="O79" s="245">
        <f t="shared" ref="O79" si="33">SUM(N79:N82)</f>
        <v>1834.0783916619325</v>
      </c>
    </row>
    <row r="80" spans="1:15" x14ac:dyDescent="0.25">
      <c r="A80" s="270"/>
      <c r="B80" s="248"/>
      <c r="C80" s="251"/>
      <c r="D80" s="91" t="s">
        <v>67</v>
      </c>
      <c r="E80" s="92">
        <v>0.14000000000000001</v>
      </c>
      <c r="F80" s="93">
        <v>14</v>
      </c>
      <c r="G80" s="206">
        <v>3</v>
      </c>
      <c r="H80" s="239"/>
      <c r="I80" s="94">
        <v>0</v>
      </c>
      <c r="J80" s="95">
        <f t="shared" si="7"/>
        <v>17.916699999999999</v>
      </c>
      <c r="K80" s="241"/>
      <c r="L80" s="25">
        <f>Descrição!$F$93</f>
        <v>23.7</v>
      </c>
      <c r="M80" s="241"/>
      <c r="N80" s="243"/>
      <c r="O80" s="232"/>
    </row>
    <row r="81" spans="1:15" x14ac:dyDescent="0.25">
      <c r="A81" s="270"/>
      <c r="B81" s="248"/>
      <c r="C81" s="251"/>
      <c r="D81" s="91" t="s">
        <v>104</v>
      </c>
      <c r="E81" s="92">
        <v>7.0000000000000007E-2</v>
      </c>
      <c r="F81" s="93">
        <v>7</v>
      </c>
      <c r="G81" s="206">
        <v>3</v>
      </c>
      <c r="H81" s="239"/>
      <c r="I81" s="94">
        <v>0</v>
      </c>
      <c r="J81" s="95">
        <f t="shared" si="7"/>
        <v>10.916700000000001</v>
      </c>
      <c r="K81" s="241"/>
      <c r="L81" s="25">
        <f>Descrição!$F$93</f>
        <v>23.7</v>
      </c>
      <c r="M81" s="241"/>
      <c r="N81" s="243"/>
      <c r="O81" s="232"/>
    </row>
    <row r="82" spans="1:15" x14ac:dyDescent="0.25">
      <c r="A82" s="270"/>
      <c r="B82" s="249"/>
      <c r="C82" s="252"/>
      <c r="D82" s="113" t="s">
        <v>105</v>
      </c>
      <c r="E82" s="114">
        <v>0.19</v>
      </c>
      <c r="F82" s="115">
        <v>4</v>
      </c>
      <c r="G82" s="211">
        <v>1</v>
      </c>
      <c r="H82" s="253"/>
      <c r="I82" s="116">
        <v>0</v>
      </c>
      <c r="J82" s="117">
        <f t="shared" si="7"/>
        <v>5.9167000000000005</v>
      </c>
      <c r="K82" s="255"/>
      <c r="L82" s="26">
        <f>Descrição!$F$93</f>
        <v>23.7</v>
      </c>
      <c r="M82" s="255"/>
      <c r="N82" s="256"/>
      <c r="O82" s="246"/>
    </row>
    <row r="83" spans="1:15" x14ac:dyDescent="0.25">
      <c r="A83" s="270"/>
      <c r="B83" s="234" t="s">
        <v>44</v>
      </c>
      <c r="C83" s="236">
        <v>432</v>
      </c>
      <c r="D83" s="105" t="s">
        <v>66</v>
      </c>
      <c r="E83" s="106">
        <v>0.6</v>
      </c>
      <c r="F83" s="107">
        <v>10</v>
      </c>
      <c r="G83" s="212">
        <v>2</v>
      </c>
      <c r="H83" s="238">
        <f>SUM(Descrição!$E$9,Descrição!$E$11)</f>
        <v>0.91670000000000007</v>
      </c>
      <c r="I83" s="108">
        <v>0</v>
      </c>
      <c r="J83" s="109">
        <f>F83+G83+$H$27</f>
        <v>12.916700000000001</v>
      </c>
      <c r="K83" s="241">
        <f t="shared" ref="K83" si="34">E83*J83+E84*J84+E85*J85+E86*J86</f>
        <v>12.146700000000003</v>
      </c>
      <c r="L83" s="151">
        <f>Descrição!$F$93</f>
        <v>23.7</v>
      </c>
      <c r="M83" s="241">
        <f>L83/K83</f>
        <v>1.9511472251722686</v>
      </c>
      <c r="N83" s="243">
        <f>M83*C83</f>
        <v>842.89560127442007</v>
      </c>
      <c r="O83" s="232">
        <f t="shared" ref="O83" si="35">SUM(N83:N86)</f>
        <v>842.89560127442007</v>
      </c>
    </row>
    <row r="84" spans="1:15" x14ac:dyDescent="0.25">
      <c r="A84" s="270"/>
      <c r="B84" s="234"/>
      <c r="C84" s="236"/>
      <c r="D84" s="35" t="s">
        <v>67</v>
      </c>
      <c r="E84" s="36">
        <v>0.14000000000000001</v>
      </c>
      <c r="F84" s="37">
        <v>14</v>
      </c>
      <c r="G84" s="203">
        <v>3</v>
      </c>
      <c r="H84" s="239"/>
      <c r="I84" s="61">
        <v>0</v>
      </c>
      <c r="J84" s="63">
        <f t="shared" si="7"/>
        <v>17.916699999999999</v>
      </c>
      <c r="K84" s="241"/>
      <c r="L84" s="25">
        <f>Descrição!$F$93</f>
        <v>23.7</v>
      </c>
      <c r="M84" s="241"/>
      <c r="N84" s="243"/>
      <c r="O84" s="232"/>
    </row>
    <row r="85" spans="1:15" x14ac:dyDescent="0.25">
      <c r="A85" s="270"/>
      <c r="B85" s="234"/>
      <c r="C85" s="236"/>
      <c r="D85" s="35" t="s">
        <v>104</v>
      </c>
      <c r="E85" s="36">
        <v>7.0000000000000007E-2</v>
      </c>
      <c r="F85" s="37">
        <v>7</v>
      </c>
      <c r="G85" s="203">
        <v>3</v>
      </c>
      <c r="H85" s="239"/>
      <c r="I85" s="61">
        <v>0</v>
      </c>
      <c r="J85" s="63">
        <f t="shared" si="7"/>
        <v>10.916700000000001</v>
      </c>
      <c r="K85" s="241"/>
      <c r="L85" s="25">
        <f>Descrição!$F$93</f>
        <v>23.7</v>
      </c>
      <c r="M85" s="241"/>
      <c r="N85" s="243"/>
      <c r="O85" s="232"/>
    </row>
    <row r="86" spans="1:15" ht="15.75" thickBot="1" x14ac:dyDescent="0.3">
      <c r="A86" s="271"/>
      <c r="B86" s="235"/>
      <c r="C86" s="237"/>
      <c r="D86" s="87" t="s">
        <v>105</v>
      </c>
      <c r="E86" s="44">
        <v>0.19</v>
      </c>
      <c r="F86" s="45">
        <v>4</v>
      </c>
      <c r="G86" s="213">
        <v>1</v>
      </c>
      <c r="H86" s="240"/>
      <c r="I86" s="79">
        <v>0</v>
      </c>
      <c r="J86" s="88">
        <f t="shared" si="7"/>
        <v>5.9167000000000005</v>
      </c>
      <c r="K86" s="242"/>
      <c r="L86" s="29">
        <f>Descrição!$F$93</f>
        <v>23.7</v>
      </c>
      <c r="M86" s="242"/>
      <c r="N86" s="244"/>
      <c r="O86" s="233"/>
    </row>
    <row r="87" spans="1:15" ht="15.75" thickBot="1" x14ac:dyDescent="0.3">
      <c r="L87" s="122"/>
      <c r="N87" s="225" t="s">
        <v>153</v>
      </c>
      <c r="O87" s="227">
        <f>SUM(O5:O86)</f>
        <v>36123.102766225435</v>
      </c>
    </row>
    <row r="88" spans="1:15" x14ac:dyDescent="0.25">
      <c r="N88" t="s">
        <v>156</v>
      </c>
      <c r="O88">
        <f>O87*237</f>
        <v>8561175.3555954285</v>
      </c>
    </row>
  </sheetData>
  <mergeCells count="173">
    <mergeCell ref="K83:K86"/>
    <mergeCell ref="M83:M86"/>
    <mergeCell ref="N83:N86"/>
    <mergeCell ref="P6:R9"/>
    <mergeCell ref="P29:R32"/>
    <mergeCell ref="K75:K78"/>
    <mergeCell ref="M75:M78"/>
    <mergeCell ref="N75:N78"/>
    <mergeCell ref="K79:K82"/>
    <mergeCell ref="M79:M82"/>
    <mergeCell ref="N79:N82"/>
    <mergeCell ref="K67:K70"/>
    <mergeCell ref="M67:M70"/>
    <mergeCell ref="N67:N70"/>
    <mergeCell ref="K71:K74"/>
    <mergeCell ref="M71:M74"/>
    <mergeCell ref="N71:N74"/>
    <mergeCell ref="K59:K62"/>
    <mergeCell ref="M59:M62"/>
    <mergeCell ref="N59:N62"/>
    <mergeCell ref="K63:K66"/>
    <mergeCell ref="M63:M66"/>
    <mergeCell ref="N63:N66"/>
    <mergeCell ref="K51:K54"/>
    <mergeCell ref="M51:M54"/>
    <mergeCell ref="N51:N54"/>
    <mergeCell ref="K55:K58"/>
    <mergeCell ref="M55:M58"/>
    <mergeCell ref="N55:N58"/>
    <mergeCell ref="K43:K46"/>
    <mergeCell ref="M43:M46"/>
    <mergeCell ref="N43:N46"/>
    <mergeCell ref="K47:K50"/>
    <mergeCell ref="M47:M50"/>
    <mergeCell ref="N47:N50"/>
    <mergeCell ref="K5:K7"/>
    <mergeCell ref="K8:K10"/>
    <mergeCell ref="K11:K13"/>
    <mergeCell ref="K14:K16"/>
    <mergeCell ref="K17:K19"/>
    <mergeCell ref="K20:K22"/>
    <mergeCell ref="K23:K25"/>
    <mergeCell ref="M5:M7"/>
    <mergeCell ref="M14:M16"/>
    <mergeCell ref="M17:M19"/>
    <mergeCell ref="M20:M22"/>
    <mergeCell ref="M23:M25"/>
    <mergeCell ref="A27:A86"/>
    <mergeCell ref="O31:O34"/>
    <mergeCell ref="O35:O38"/>
    <mergeCell ref="O39:O42"/>
    <mergeCell ref="O43:O46"/>
    <mergeCell ref="O47:O50"/>
    <mergeCell ref="O51:O54"/>
    <mergeCell ref="O55:O58"/>
    <mergeCell ref="O59:O62"/>
    <mergeCell ref="O63:O66"/>
    <mergeCell ref="O67:O70"/>
    <mergeCell ref="O71:O74"/>
    <mergeCell ref="O75:O78"/>
    <mergeCell ref="O79:O82"/>
    <mergeCell ref="O83:O86"/>
    <mergeCell ref="M31:M34"/>
    <mergeCell ref="C75:C78"/>
    <mergeCell ref="B75:B78"/>
    <mergeCell ref="C79:C82"/>
    <mergeCell ref="B79:B82"/>
    <mergeCell ref="C83:C86"/>
    <mergeCell ref="B83:B86"/>
    <mergeCell ref="C63:C66"/>
    <mergeCell ref="K27:K30"/>
    <mergeCell ref="B63:B66"/>
    <mergeCell ref="C67:C70"/>
    <mergeCell ref="B67:B70"/>
    <mergeCell ref="C71:C74"/>
    <mergeCell ref="B71:B74"/>
    <mergeCell ref="C51:C54"/>
    <mergeCell ref="B51:B54"/>
    <mergeCell ref="C55:C58"/>
    <mergeCell ref="B55:B58"/>
    <mergeCell ref="C59:C62"/>
    <mergeCell ref="B59:B62"/>
    <mergeCell ref="O27:O30"/>
    <mergeCell ref="B47:B50"/>
    <mergeCell ref="C35:C38"/>
    <mergeCell ref="B35:B38"/>
    <mergeCell ref="C39:C42"/>
    <mergeCell ref="B39:B42"/>
    <mergeCell ref="C43:C46"/>
    <mergeCell ref="B43:B46"/>
    <mergeCell ref="C47:C50"/>
    <mergeCell ref="N31:N34"/>
    <mergeCell ref="K35:K38"/>
    <mergeCell ref="M35:M38"/>
    <mergeCell ref="N35:N38"/>
    <mergeCell ref="K39:K42"/>
    <mergeCell ref="M39:M42"/>
    <mergeCell ref="N39:N42"/>
    <mergeCell ref="B27:B29"/>
    <mergeCell ref="B31:B34"/>
    <mergeCell ref="C31:C34"/>
    <mergeCell ref="C27:C29"/>
    <mergeCell ref="K31:K34"/>
    <mergeCell ref="M27:M30"/>
    <mergeCell ref="N27:N30"/>
    <mergeCell ref="H27:H30"/>
    <mergeCell ref="A1:O2"/>
    <mergeCell ref="I5:I7"/>
    <mergeCell ref="I8:I10"/>
    <mergeCell ref="I11:I13"/>
    <mergeCell ref="I14:I16"/>
    <mergeCell ref="I17:I19"/>
    <mergeCell ref="H5:H7"/>
    <mergeCell ref="H8:H10"/>
    <mergeCell ref="H11:H13"/>
    <mergeCell ref="H14:H16"/>
    <mergeCell ref="H17:H19"/>
    <mergeCell ref="O5:O7"/>
    <mergeCell ref="B14:B16"/>
    <mergeCell ref="C14:C16"/>
    <mergeCell ref="B17:B19"/>
    <mergeCell ref="C17:C19"/>
    <mergeCell ref="A5:A25"/>
    <mergeCell ref="B23:B25"/>
    <mergeCell ref="C23:C25"/>
    <mergeCell ref="N23:N25"/>
    <mergeCell ref="N5:N7"/>
    <mergeCell ref="M8:M10"/>
    <mergeCell ref="N8:N10"/>
    <mergeCell ref="M11:M13"/>
    <mergeCell ref="O23:O25"/>
    <mergeCell ref="G8:G10"/>
    <mergeCell ref="G11:G13"/>
    <mergeCell ref="G14:G16"/>
    <mergeCell ref="G17:G19"/>
    <mergeCell ref="G20:G22"/>
    <mergeCell ref="G23:G25"/>
    <mergeCell ref="O14:O16"/>
    <mergeCell ref="O17:O19"/>
    <mergeCell ref="H20:H22"/>
    <mergeCell ref="H23:H25"/>
    <mergeCell ref="I20:I22"/>
    <mergeCell ref="I23:I25"/>
    <mergeCell ref="N14:N16"/>
    <mergeCell ref="N17:N19"/>
    <mergeCell ref="N20:N22"/>
    <mergeCell ref="O8:O10"/>
    <mergeCell ref="O11:O13"/>
    <mergeCell ref="O20:O22"/>
    <mergeCell ref="N11:N13"/>
    <mergeCell ref="B20:B22"/>
    <mergeCell ref="C20:C22"/>
    <mergeCell ref="C5:C7"/>
    <mergeCell ref="B5:B7"/>
    <mergeCell ref="B8:B10"/>
    <mergeCell ref="C8:C10"/>
    <mergeCell ref="B11:B13"/>
    <mergeCell ref="C11:C13"/>
    <mergeCell ref="G5:G7"/>
    <mergeCell ref="H67:H70"/>
    <mergeCell ref="H71:H74"/>
    <mergeCell ref="H75:H78"/>
    <mergeCell ref="H79:H82"/>
    <mergeCell ref="H83:H86"/>
    <mergeCell ref="H31:H34"/>
    <mergeCell ref="H35:H38"/>
    <mergeCell ref="H39:H42"/>
    <mergeCell ref="H43:H46"/>
    <mergeCell ref="H47:H50"/>
    <mergeCell ref="H51:H54"/>
    <mergeCell ref="H55:H58"/>
    <mergeCell ref="H59:H62"/>
    <mergeCell ref="H63:H66"/>
  </mergeCells>
  <pageMargins left="0.25" right="0.25" top="0.75" bottom="0.75" header="0.3" footer="0.3"/>
  <pageSetup paperSize="9" scale="61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showGridLines="0" topLeftCell="B1" workbookViewId="0">
      <pane ySplit="4" topLeftCell="A13" activePane="bottomLeft" state="frozen"/>
      <selection pane="bottomLeft" activeCell="E25" sqref="E25"/>
    </sheetView>
  </sheetViews>
  <sheetFormatPr defaultRowHeight="15" x14ac:dyDescent="0.25"/>
  <cols>
    <col min="2" max="2" width="27.7109375" customWidth="1"/>
    <col min="3" max="3" width="20.7109375" customWidth="1"/>
    <col min="4" max="4" width="13.140625" customWidth="1"/>
    <col min="5" max="5" width="16.28515625" customWidth="1"/>
    <col min="6" max="6" width="14.28515625" style="53" customWidth="1"/>
    <col min="7" max="7" width="22.28515625" customWidth="1"/>
    <col min="8" max="8" width="21.5703125" customWidth="1"/>
    <col min="9" max="9" width="12.42578125" style="52" customWidth="1"/>
    <col min="10" max="10" width="11.42578125" style="59" hidden="1" customWidth="1"/>
    <col min="11" max="11" width="11.42578125" hidden="1" customWidth="1"/>
    <col min="12" max="12" width="19.28515625" bestFit="1" customWidth="1"/>
    <col min="13" max="13" width="12.28515625" bestFit="1" customWidth="1"/>
  </cols>
  <sheetData>
    <row r="2" spans="1:16" ht="25.5" customHeight="1" x14ac:dyDescent="0.25">
      <c r="A2" s="184" t="s">
        <v>6</v>
      </c>
      <c r="B2" s="390" t="s">
        <v>7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2"/>
    </row>
    <row r="3" spans="1:16" ht="15.75" thickBot="1" x14ac:dyDescent="0.3">
      <c r="A3" s="2"/>
      <c r="B3" s="2"/>
      <c r="C3" s="2"/>
      <c r="D3" s="2"/>
      <c r="E3" s="2"/>
      <c r="F3" s="51"/>
      <c r="G3" s="2"/>
      <c r="H3" s="2"/>
      <c r="I3" s="51"/>
      <c r="J3" s="2"/>
      <c r="K3" s="2"/>
    </row>
    <row r="4" spans="1:16" ht="64.5" thickBot="1" x14ac:dyDescent="0.3">
      <c r="A4" s="221" t="s">
        <v>0</v>
      </c>
      <c r="B4" s="222" t="s">
        <v>61</v>
      </c>
      <c r="C4" s="222" t="s">
        <v>113</v>
      </c>
      <c r="D4" s="222" t="s">
        <v>8</v>
      </c>
      <c r="E4" s="222" t="s">
        <v>114</v>
      </c>
      <c r="F4" s="215" t="s">
        <v>136</v>
      </c>
      <c r="G4" s="222" t="s">
        <v>137</v>
      </c>
      <c r="H4" s="222" t="s">
        <v>138</v>
      </c>
      <c r="I4" s="215" t="s">
        <v>139</v>
      </c>
      <c r="J4" s="222" t="s">
        <v>10</v>
      </c>
      <c r="K4" s="222" t="s">
        <v>9</v>
      </c>
      <c r="L4" s="222" t="s">
        <v>5</v>
      </c>
      <c r="M4" s="223" t="s">
        <v>119</v>
      </c>
    </row>
    <row r="5" spans="1:16" ht="21.75" customHeight="1" x14ac:dyDescent="0.25">
      <c r="A5" s="387" t="s">
        <v>68</v>
      </c>
      <c r="B5" s="217" t="s">
        <v>115</v>
      </c>
      <c r="C5" s="218">
        <v>0.17</v>
      </c>
      <c r="D5" s="218">
        <f>Descrição!$D$91</f>
        <v>0.65</v>
      </c>
      <c r="E5" s="219">
        <f>24-C5-D5</f>
        <v>23.18</v>
      </c>
      <c r="F5" s="220">
        <v>0.67</v>
      </c>
      <c r="G5" s="218">
        <v>13</v>
      </c>
      <c r="H5" s="218">
        <v>257</v>
      </c>
      <c r="I5" s="219">
        <v>1.94</v>
      </c>
      <c r="J5" s="219">
        <f>(G5*H5*I5)/1000</f>
        <v>6.4815399999999999</v>
      </c>
      <c r="K5" s="219">
        <f>J5*60</f>
        <v>388.89240000000001</v>
      </c>
      <c r="L5" s="219">
        <f>G5*60*E5*F5*I5*(H5/1000)</f>
        <v>6039.732307440001</v>
      </c>
      <c r="M5" s="393">
        <f>SUM(L5:L6)</f>
        <v>7529.7007980000008</v>
      </c>
    </row>
    <row r="6" spans="1:16" x14ac:dyDescent="0.25">
      <c r="A6" s="386"/>
      <c r="B6" s="3" t="s">
        <v>116</v>
      </c>
      <c r="C6" s="4">
        <v>0.17</v>
      </c>
      <c r="D6" s="4">
        <f>Descrição!$D$91</f>
        <v>0.65</v>
      </c>
      <c r="E6" s="56">
        <f t="shared" ref="E6" si="0">24-C6-D6</f>
        <v>23.18</v>
      </c>
      <c r="F6" s="57">
        <v>0.33500000000000002</v>
      </c>
      <c r="G6" s="4">
        <v>11</v>
      </c>
      <c r="H6" s="4">
        <v>158</v>
      </c>
      <c r="I6" s="56">
        <v>1.84</v>
      </c>
      <c r="J6" s="56">
        <f t="shared" ref="J6" si="1">(G6*H6*I6)/1000</f>
        <v>3.1979199999999999</v>
      </c>
      <c r="K6" s="56">
        <f t="shared" ref="K6" si="2">J6*60</f>
        <v>191.87520000000001</v>
      </c>
      <c r="L6" s="56">
        <f t="shared" ref="L6" si="3">G6*60*E6*F6*I6*(H6/1000)</f>
        <v>1489.96849056</v>
      </c>
      <c r="M6" s="394"/>
    </row>
    <row r="8" spans="1:16" ht="18.75" customHeight="1" x14ac:dyDescent="0.25">
      <c r="A8" s="385" t="s">
        <v>97</v>
      </c>
      <c r="B8" s="3" t="s">
        <v>117</v>
      </c>
      <c r="C8" s="4">
        <v>0.17</v>
      </c>
      <c r="D8" s="4">
        <f>Descrição!$D$91</f>
        <v>0.65</v>
      </c>
      <c r="E8" s="56">
        <f t="shared" ref="E8:E9" si="4">24-C8-D8</f>
        <v>23.18</v>
      </c>
      <c r="F8" s="54">
        <v>0.3</v>
      </c>
      <c r="G8" s="4">
        <v>15</v>
      </c>
      <c r="H8" s="50">
        <v>251</v>
      </c>
      <c r="I8" s="56">
        <v>1.82</v>
      </c>
      <c r="J8" s="56">
        <f>(G8*H8*I8)/1000</f>
        <v>6.8523000000000005</v>
      </c>
      <c r="K8" s="56">
        <f>J8*60</f>
        <v>411.13800000000003</v>
      </c>
      <c r="L8" s="56">
        <f t="shared" ref="L8" si="5">G8*60*E8*F8*I8*(H8/1000)</f>
        <v>2859.0536520000001</v>
      </c>
      <c r="M8" s="388">
        <f>SUM(L8:L9)</f>
        <v>7962.0657479999991</v>
      </c>
    </row>
    <row r="9" spans="1:16" ht="18.75" customHeight="1" x14ac:dyDescent="0.25">
      <c r="A9" s="386"/>
      <c r="B9" s="3" t="s">
        <v>118</v>
      </c>
      <c r="C9" s="4">
        <v>0.17</v>
      </c>
      <c r="D9" s="4">
        <f>Descrição!$D$91</f>
        <v>0.65</v>
      </c>
      <c r="E9" s="56">
        <f t="shared" si="4"/>
        <v>23.18</v>
      </c>
      <c r="F9" s="54">
        <v>0.7</v>
      </c>
      <c r="G9" s="4">
        <v>20</v>
      </c>
      <c r="H9" s="50">
        <v>144</v>
      </c>
      <c r="I9" s="56">
        <v>1.82</v>
      </c>
      <c r="J9" s="56">
        <f>(G9*H9*I9)/1000</f>
        <v>5.2416</v>
      </c>
      <c r="K9" s="56">
        <f>J9*60</f>
        <v>314.49599999999998</v>
      </c>
      <c r="L9" s="56">
        <f>G9*60*E9*F9*I9*(H9/1000)</f>
        <v>5103.0120959999986</v>
      </c>
      <c r="M9" s="394"/>
    </row>
    <row r="10" spans="1:16" x14ac:dyDescent="0.25">
      <c r="L10" s="55"/>
      <c r="M10" s="55"/>
    </row>
    <row r="11" spans="1:16" ht="21.75" customHeight="1" x14ac:dyDescent="0.25">
      <c r="A11" s="385" t="s">
        <v>98</v>
      </c>
      <c r="B11" s="3" t="s">
        <v>117</v>
      </c>
      <c r="C11" s="4">
        <v>0.17</v>
      </c>
      <c r="D11" s="4">
        <f>Descrição!$D$91</f>
        <v>0.65</v>
      </c>
      <c r="E11" s="56">
        <f t="shared" ref="E11:E12" si="6">24-C11-D11</f>
        <v>23.18</v>
      </c>
      <c r="F11" s="58">
        <v>0.41</v>
      </c>
      <c r="G11" s="4">
        <v>14</v>
      </c>
      <c r="H11" s="4">
        <v>259</v>
      </c>
      <c r="I11" s="56">
        <v>1.7088144027567413</v>
      </c>
      <c r="J11" s="56">
        <f>(G11*H11*I11)/1000</f>
        <v>6.196161024395944</v>
      </c>
      <c r="K11" s="56">
        <f>J11*60</f>
        <v>371.76966146375662</v>
      </c>
      <c r="L11" s="56">
        <f>G11*60*E11*F11*I11*(H11/1000)</f>
        <v>3533.2245086192506</v>
      </c>
      <c r="M11" s="388">
        <f>SUM(L11:L12)</f>
        <v>7818.0725671226965</v>
      </c>
      <c r="N11" s="175"/>
      <c r="O11" s="175"/>
      <c r="P11" s="174"/>
    </row>
    <row r="12" spans="1:16" ht="21.75" customHeight="1" x14ac:dyDescent="0.25">
      <c r="A12" s="386"/>
      <c r="B12" s="3" t="s">
        <v>118</v>
      </c>
      <c r="C12" s="4">
        <v>0.17</v>
      </c>
      <c r="D12" s="4">
        <f>Descrição!$D$91</f>
        <v>0.65</v>
      </c>
      <c r="E12" s="56">
        <f t="shared" si="6"/>
        <v>23.18</v>
      </c>
      <c r="F12" s="58">
        <v>0.59</v>
      </c>
      <c r="G12" s="4">
        <v>18</v>
      </c>
      <c r="H12" s="4">
        <v>156</v>
      </c>
      <c r="I12" s="56">
        <v>1.8596089566516776</v>
      </c>
      <c r="J12" s="56">
        <f t="shared" ref="J12" si="7">(G12*H12*I12)/1000</f>
        <v>5.2217819502779106</v>
      </c>
      <c r="K12" s="56">
        <f t="shared" ref="K12" si="8">J12*60</f>
        <v>313.30691701667462</v>
      </c>
      <c r="L12" s="56">
        <f>G12*60*E12*F12*I12*(H12/1000)</f>
        <v>4284.8480585034458</v>
      </c>
      <c r="M12" s="394"/>
      <c r="N12" s="175"/>
      <c r="O12" s="175"/>
      <c r="P12" s="174"/>
    </row>
    <row r="13" spans="1:16" x14ac:dyDescent="0.25">
      <c r="F13"/>
    </row>
    <row r="14" spans="1:16" ht="21.75" customHeight="1" x14ac:dyDescent="0.25">
      <c r="A14" s="385" t="s">
        <v>99</v>
      </c>
      <c r="B14" s="3" t="s">
        <v>117</v>
      </c>
      <c r="C14" s="4">
        <v>0.17</v>
      </c>
      <c r="D14" s="4">
        <f>Descrição!$D$91</f>
        <v>0.65</v>
      </c>
      <c r="E14" s="56">
        <f t="shared" ref="E14:E15" si="9">24-C14-D14</f>
        <v>23.18</v>
      </c>
      <c r="F14" s="57">
        <v>0.35</v>
      </c>
      <c r="G14" s="50">
        <v>14.456019891578771</v>
      </c>
      <c r="H14" s="50">
        <v>256.10948980156752</v>
      </c>
      <c r="I14" s="56">
        <v>1.8640069720704167</v>
      </c>
      <c r="J14" s="56">
        <f>(G14*H14*I14)/1000</f>
        <v>6.9011575233067681</v>
      </c>
      <c r="K14" s="56">
        <f>J14*60</f>
        <v>414.0694513984061</v>
      </c>
      <c r="L14" s="56">
        <f>G14*60*E14*F14*I14*(H14/1000)</f>
        <v>3359.3454591952682</v>
      </c>
      <c r="M14" s="388">
        <f>SUM(L14:L15)</f>
        <v>8198.6271448323732</v>
      </c>
      <c r="N14" s="175"/>
      <c r="O14" s="175"/>
      <c r="P14" s="174"/>
    </row>
    <row r="15" spans="1:16" ht="21.75" customHeight="1" x14ac:dyDescent="0.25">
      <c r="A15" s="386"/>
      <c r="B15" s="3" t="s">
        <v>118</v>
      </c>
      <c r="C15" s="4">
        <v>0.17</v>
      </c>
      <c r="D15" s="4">
        <f>Descrição!$D$91</f>
        <v>0.65</v>
      </c>
      <c r="E15" s="56">
        <f t="shared" si="9"/>
        <v>23.18</v>
      </c>
      <c r="F15" s="57">
        <v>0.65</v>
      </c>
      <c r="G15" s="50">
        <v>18.739506882606026</v>
      </c>
      <c r="H15" s="50">
        <v>153.87759149718616</v>
      </c>
      <c r="I15" s="56">
        <v>1.8563904477727762</v>
      </c>
      <c r="J15" s="56">
        <f t="shared" ref="J15" si="10">(G15*H15*I15)/1000</f>
        <v>5.3530692746146151</v>
      </c>
      <c r="K15" s="56">
        <f t="shared" ref="K15" si="11">J15*60</f>
        <v>321.18415647687692</v>
      </c>
      <c r="L15" s="56">
        <f>G15*60*E15*F15*I15*(H15/1000)</f>
        <v>4839.2816856371046</v>
      </c>
      <c r="M15" s="394"/>
      <c r="N15" s="175"/>
      <c r="O15" s="175"/>
      <c r="P15" s="174"/>
    </row>
    <row r="17" spans="1:16" ht="21.75" customHeight="1" x14ac:dyDescent="0.25">
      <c r="A17" s="385" t="s">
        <v>100</v>
      </c>
      <c r="B17" s="3" t="s">
        <v>117</v>
      </c>
      <c r="C17" s="4">
        <v>0.17</v>
      </c>
      <c r="D17" s="4">
        <f>Descrição!$D$91</f>
        <v>0.65</v>
      </c>
      <c r="E17" s="56">
        <f t="shared" ref="E17:E18" si="12">24-C17-D17</f>
        <v>23.18</v>
      </c>
      <c r="F17" s="57">
        <v>0.53</v>
      </c>
      <c r="G17" s="50">
        <v>14.602656132769326</v>
      </c>
      <c r="H17" s="50">
        <v>253.01988379010683</v>
      </c>
      <c r="I17" s="56">
        <v>1.788025501038677</v>
      </c>
      <c r="J17" s="56">
        <f>(G17*H17*I17)/1000</f>
        <v>6.6063293159172387</v>
      </c>
      <c r="K17" s="56">
        <f t="shared" ref="K17:K18" si="13">J17*60</f>
        <v>396.37975895503433</v>
      </c>
      <c r="L17" s="56">
        <f>G17*60*E17*F17*I17*(H17/1000)</f>
        <v>4869.6838906661787</v>
      </c>
      <c r="M17" s="388">
        <f>SUM(L17:L18)</f>
        <v>8375.5261766042604</v>
      </c>
      <c r="N17" s="175"/>
      <c r="O17" s="175"/>
      <c r="P17" s="174"/>
    </row>
    <row r="18" spans="1:16" ht="21.75" customHeight="1" x14ac:dyDescent="0.25">
      <c r="A18" s="386"/>
      <c r="B18" s="3" t="s">
        <v>118</v>
      </c>
      <c r="C18" s="4">
        <v>0.17</v>
      </c>
      <c r="D18" s="4">
        <f>Descrição!$D$91</f>
        <v>0.65</v>
      </c>
      <c r="E18" s="56">
        <f t="shared" si="12"/>
        <v>23.18</v>
      </c>
      <c r="F18" s="57">
        <v>0.47</v>
      </c>
      <c r="G18" s="50">
        <v>18.594487746970255</v>
      </c>
      <c r="H18" s="50">
        <v>158.44330385359746</v>
      </c>
      <c r="I18" s="56">
        <v>1.8204205385085708</v>
      </c>
      <c r="J18" s="56">
        <f t="shared" ref="J18" si="14">(G18*H18*I18)/1000</f>
        <v>5.3632721500224614</v>
      </c>
      <c r="K18" s="56">
        <f t="shared" si="13"/>
        <v>321.79632900134766</v>
      </c>
      <c r="L18" s="56">
        <f>G18*60*E18*F18*I18*(H18/1000)</f>
        <v>3505.8422859380821</v>
      </c>
      <c r="M18" s="394"/>
      <c r="N18" s="175"/>
      <c r="O18" s="175"/>
      <c r="P18" s="174"/>
    </row>
    <row r="20" spans="1:16" ht="21.75" customHeight="1" x14ac:dyDescent="0.25">
      <c r="A20" s="385" t="s">
        <v>101</v>
      </c>
      <c r="B20" s="3" t="s">
        <v>117</v>
      </c>
      <c r="C20" s="4">
        <v>0.17</v>
      </c>
      <c r="D20" s="4">
        <f>Descrição!$D$91</f>
        <v>0.65</v>
      </c>
      <c r="E20" s="56">
        <f t="shared" ref="E20:E21" si="15">24-C20-D20</f>
        <v>23.18</v>
      </c>
      <c r="F20" s="57">
        <v>0.57999999999999996</v>
      </c>
      <c r="G20" s="50">
        <v>14.306518586666648</v>
      </c>
      <c r="H20" s="50">
        <v>277.75840057211889</v>
      </c>
      <c r="I20" s="56">
        <v>1.9568706270191389</v>
      </c>
      <c r="J20" s="56">
        <f>(G20*H20*I20)/1000</f>
        <v>7.7761258481762017</v>
      </c>
      <c r="K20" s="56">
        <f>J20*60</f>
        <v>466.56755089057208</v>
      </c>
      <c r="L20" s="56">
        <f>G20*60*E20*F20*I20*(H20/1000)</f>
        <v>6272.7207811932067</v>
      </c>
      <c r="M20" s="388">
        <f>SUM(L20:L21)</f>
        <v>9269.127860974284</v>
      </c>
      <c r="N20" s="175"/>
      <c r="O20" s="175"/>
      <c r="P20" s="174"/>
    </row>
    <row r="21" spans="1:16" ht="15.75" thickBot="1" x14ac:dyDescent="0.3">
      <c r="A21" s="386"/>
      <c r="B21" s="3" t="s">
        <v>118</v>
      </c>
      <c r="C21" s="4">
        <v>0.17</v>
      </c>
      <c r="D21" s="4">
        <f>Descrição!$D$91</f>
        <v>0.65</v>
      </c>
      <c r="E21" s="56">
        <f t="shared" si="15"/>
        <v>23.18</v>
      </c>
      <c r="F21" s="57">
        <v>0.42</v>
      </c>
      <c r="G21" s="50">
        <v>19.188519279050485</v>
      </c>
      <c r="H21" s="50">
        <v>153.77646730040468</v>
      </c>
      <c r="I21" s="56">
        <v>1.7384231617962367</v>
      </c>
      <c r="J21" s="56">
        <f t="shared" ref="J21" si="16">(G21*H21*I21)/1000</f>
        <v>5.1296394671464833</v>
      </c>
      <c r="K21" s="56">
        <f t="shared" ref="K21" si="17">J21*60</f>
        <v>307.77836802878898</v>
      </c>
      <c r="L21" s="176">
        <f>G21*60*E21*F21*I21*(H21/1000)</f>
        <v>2996.4070797810778</v>
      </c>
      <c r="M21" s="389"/>
      <c r="N21" s="175"/>
      <c r="O21" s="175"/>
      <c r="P21" s="174"/>
    </row>
    <row r="22" spans="1:16" ht="15.75" thickBot="1" x14ac:dyDescent="0.3">
      <c r="L22" s="225" t="s">
        <v>152</v>
      </c>
      <c r="M22" s="226">
        <f>SUM(M5:M21)</f>
        <v>49153.120295533619</v>
      </c>
    </row>
    <row r="23" spans="1:16" x14ac:dyDescent="0.25">
      <c r="L23" t="s">
        <v>156</v>
      </c>
      <c r="M23">
        <f>M22*237</f>
        <v>11649289.510041468</v>
      </c>
    </row>
  </sheetData>
  <mergeCells count="13">
    <mergeCell ref="M20:M21"/>
    <mergeCell ref="B2:M2"/>
    <mergeCell ref="M5:M6"/>
    <mergeCell ref="M8:M9"/>
    <mergeCell ref="M11:M12"/>
    <mergeCell ref="M14:M15"/>
    <mergeCell ref="M17:M18"/>
    <mergeCell ref="A20:A21"/>
    <mergeCell ref="A5:A6"/>
    <mergeCell ref="A8:A9"/>
    <mergeCell ref="A11:A12"/>
    <mergeCell ref="A14:A15"/>
    <mergeCell ref="A17:A18"/>
  </mergeCells>
  <pageMargins left="0.25" right="0.25" top="0.75" bottom="0.75" header="0.3" footer="0.3"/>
  <pageSetup paperSize="9" scale="75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Calculos tinturaria comparativo</vt:lpstr>
      <vt:lpstr>Descrição</vt:lpstr>
      <vt:lpstr>Calculos tinturaria</vt:lpstr>
      <vt:lpstr>Calculos acabamento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Mafalda Gomes</cp:lastModifiedBy>
  <cp:lastPrinted>2018-06-12T11:03:44Z</cp:lastPrinted>
  <dcterms:created xsi:type="dcterms:W3CDTF">2013-07-02T14:32:28Z</dcterms:created>
  <dcterms:modified xsi:type="dcterms:W3CDTF">2018-12-20T20:21:27Z</dcterms:modified>
</cp:coreProperties>
</file>