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swingbiomethane.sharepoint.com/sites/COMMUN/Documents partages/7- Shared drives with partners/PT - Gas da Terra/1- Abrigada/6-Technical/05. DETAILED DESIGN/B_Projeto_de_Execução_EIA/01. GASDATERRA/V042026/"/>
    </mc:Choice>
  </mc:AlternateContent>
  <xr:revisionPtr revIDLastSave="420" documentId="8_{856661E1-F14C-44AA-B170-AE2DA29A0385}" xr6:coauthVersionLast="47" xr6:coauthVersionMax="47" xr10:uidLastSave="{7A6B5791-CE44-4DB0-81A6-8909C167D3D1}"/>
  <bookViews>
    <workbookView xWindow="28680" yWindow="-120" windowWidth="29040" windowHeight="15720" tabRatio="586" activeTab="1" xr2:uid="{C8150093-BA83-4C86-B51B-FBF230743235}"/>
  </bookViews>
  <sheets>
    <sheet name="Processo" sheetId="28" r:id="rId1"/>
    <sheet name="Capacidades_EIA" sheetId="27" r:id="rId2"/>
    <sheet name="VOLUME_DIGESTORES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C">#REF!</definedName>
    <definedName name="\G">#REF!</definedName>
    <definedName name="\N">#REF!</definedName>
    <definedName name="\P">#REF!</definedName>
    <definedName name="\T">#REF!</definedName>
    <definedName name="___NH4">#REF!</definedName>
    <definedName name="__NH4">#REF!</definedName>
    <definedName name="_Fill" hidden="1">#REF!</definedName>
    <definedName name="_xlnm._FilterDatabase" localSheetId="1" hidden="1">Capacidades_EIA!$B$17:$G$17</definedName>
    <definedName name="_Key1" hidden="1">#REF!</definedName>
    <definedName name="_NH4">#REF!</definedName>
    <definedName name="_Order1" hidden="1">255</definedName>
    <definedName name="_PDM_DB">#REF!</definedName>
    <definedName name="ADGT_Rooftype">'[1]Calculation sheet'!$K$157</definedName>
    <definedName name="Adresse">#REF!,#REF!,#REF!,#REF!</definedName>
    <definedName name="APPROVED_BY">'[1]Calculation sheet'!$I$8</definedName>
    <definedName name="Auswahl_BM1">CONCATENATE("'Sortieren biomasse'!C1:C"&amp;COUNTA(#REF!)-COUNTBLANK(#REF!))</definedName>
    <definedName name="BC_HEATPUMP">'[1]Calculation sheet'!$F$239</definedName>
    <definedName name="BC_HEATPUMP_IMPERIAL">'[1]Input sheet Imperial'!$F$238</definedName>
    <definedName name="BC_HEATPUMP_METRIC">'[1]Input sheet Metric'!$F$242</definedName>
    <definedName name="Beg_Bal">#REF!</definedName>
    <definedName name="Bg_heat_recov">[2]Input!$I$129</definedName>
    <definedName name="biodry">#REF!</definedName>
    <definedName name="Biogas_CH4_Percentage">'[1]Calculation sheet'!$M$130</definedName>
    <definedName name="Biomethane_Compressor">'[1]Calculation sheet'!$F$240</definedName>
    <definedName name="Blanc">#REF!,#REF!,#REF!,#REF!</definedName>
    <definedName name="Blé">#REF!</definedName>
    <definedName name="Booster_heat_recov">[2]Input!$I$130</definedName>
    <definedName name="Brut">#REF!</definedName>
    <definedName name="C_Final_Investment">[1]Investment!$F$34</definedName>
    <definedName name="Capacité">#REF!</definedName>
    <definedName name="Carbone">#REF!</definedName>
    <definedName name="CH4_Dsty">[2]Input!$I$186</definedName>
    <definedName name="Charge">#REF!</definedName>
    <definedName name="Choix_Sep1">#REF!</definedName>
    <definedName name="CHP_TOTAL_INSTALLED">'[1]Calculation sheet'!$K$226</definedName>
    <definedName name="CHP1_AMOUNT_Metric">#REF!</definedName>
    <definedName name="CHP1_FGC">'[1]Calculation sheet'!$F$226</definedName>
    <definedName name="CHP1_FGC_Metric">#REF!</definedName>
    <definedName name="CHP1_TYPE_Metric">#REF!</definedName>
    <definedName name="CHP2_AMOUNT_Metric">#REF!</definedName>
    <definedName name="CHP2_FGC">'[1]Calculation sheet'!$F$228</definedName>
    <definedName name="CHP2_FGC_Metric">#REF!</definedName>
    <definedName name="CHP2_TYPE_Metric">#REF!</definedName>
    <definedName name="CO2_Dsty">[2]Input!$I$187</definedName>
    <definedName name="codeBrut">#REF!</definedName>
    <definedName name="codeEauResiduaire">#REF!</definedName>
    <definedName name="codeLiquide">#REF!</definedName>
    <definedName name="codeSec">#REF!</definedName>
    <definedName name="codeSolide">#REF!</definedName>
    <definedName name="Coeff">#REF!</definedName>
    <definedName name="Color_calculated_but_changeable">'[1]Calculation sheet'!$O$5:$S$5,'[1]Calculation sheet'!$H$76,'[1]Calculation sheet'!$H$13:$H$25,'[1]Calculation sheet'!$J$13:$J$25,'[1]Calculation sheet'!$K$13:$K$25,'[1]Calculation sheet'!$K$27:$K$37,'[1]Calculation sheet'!$J$27:$J$37,'[1]Calculation sheet'!$H$27:$H$37,'[1]Calculation sheet'!$H$39:$H$74,'[1]Calculation sheet'!$J$39:$J$74,'[1]Calculation sheet'!$K$39:$K$74,'[1]Calculation sheet'!$H$76,'[1]Calculation sheet'!$H$76:$H$92,'[1]Calculation sheet'!$J$76:$J$92,'[1]Calculation sheet'!$K$76:$K$92,'[1]Calculation sheet'!$H$94:$H$109,'[1]Calculation sheet'!$J$94:$J$109,'[1]Calculation sheet'!$K$94:$K$109,'[1]Calculation sheet'!$H$111:$H$124,'[1]Calculation sheet'!$J$111:$J$124,'[1]Calculation sheet'!$K$111:$K$124,'[1]Calculation sheet'!$H$126:$H$128,'[1]Calculation sheet'!$J$126:$J$128,'[1]Calculation sheet'!$K$126:$K$128</definedName>
    <definedName name="Color_Calculated_nochange">'[1]Calculation sheet'!$O$6:$S$6,'[1]Calculation sheet'!$N$13:$R$25,'[1]Calculation sheet'!$N$27:$R$37,'[1]Calculation sheet'!$N$39:$R$74,'[1]Calculation sheet'!$N$76:$R$92,'[1]Calculation sheet'!$N$94:$R$109,'[1]Calculation sheet'!$N$111:$R$124,'[1]Calculation sheet'!$N$126:$R$128,'[1]Calculation sheet'!$AB$126:$BL$128,'[1]Calculation sheet'!$F$130,'[1]Calculation sheet'!$H$130,'[1]Calculation sheet'!$J$130,'[1]Calculation sheet'!$K$130,'[1]Calculation sheet'!$M$130,'[1]Calculation sheet'!$N$130,'[1]Calculation sheet'!$O$130,'[1]Calculation sheet'!$Q$130,'[1]Calculation sheet'!$F$137:$F$138,'[1]Calculation sheet'!$K$141,'[1]Calculation sheet'!$L$141,'[1]Calculation sheet'!$P$141,'[1]Calculation sheet'!$F$149,'[1]Calculation sheet'!$F$151:$F$154,'[1]Calculation sheet'!$K$149,'[1]Calculation sheet'!$K$151:$K$154,'[1]Calculation sheet'!$P$147:$P$150,'[1]Calculation sheet'!$P$154,'[1]Calculation sheet'!$F$189,'[1]Calculation sheet'!$F$192,'[1]Calculation sheet'!$K$193:$K$194,'[1]Calculation sheet'!$F$205,'[1]Calculation sheet'!$K$202:$K$214,'[1]Calculation sheet'!$P$202:$P$215,'[1]Calculation sheet'!$K$226:$K$228,'[1]Calculation sheet'!$P$226:$P$227,'[1]Calculation sheet'!$F$232,'[1]Calculation sheet'!$F$234,'[1]Calculation sheet'!$K$232:$K$235,'[1]Calculation sheet'!$P$232:$P$232,'[1]Calculation sheet'!$P$234,'[1]Calculation sheet'!$H$261,'[1]Calculation sheet'!$J$261,'[1]Calculation sheet'!$AB$13:$BL$25,'[1]Calculation sheet'!$AB$27:$BL$37,'[1]Calculation sheet'!$AB$39:$BL$74,'[1]Calculation sheet'!$AB$76:$BL$92,'[1]Calculation sheet'!$AB$94:$BL$109,'[1]Calculation sheet'!$AB$111:$BL$124,'[1]Calculation sheet'!$W$130,'[1]Calculation sheet'!$AL$130:$BL$130,'[1]Calculation sheet'!$P$193:$P$194</definedName>
    <definedName name="Color_HoST">'[1]Calculation sheet'!$O$7:$S$7,'[1]Calculation sheet'!$B$13:$E$25,'[1]Calculation sheet'!$B$27:$E$37,'[1]Calculation sheet'!$B$39:$E$74,'[1]Calculation sheet'!$B$76:$E$92,'[1]Calculation sheet'!$B$94:$E$109,'[1]Calculation sheet'!$B$111:$E$124,'[1]Calculation sheet'!$M$126:$M$128,'[1]Calculation sheet'!$M$13:$M$25,'[1]Calculation sheet'!$M$27:$M$37,'[1]Calculation sheet'!$M$39:$M$74,'[1]Calculation sheet'!$M$76:$M$92,'[1]Calculation sheet'!$M$94:$M$109,'[1]Calculation sheet'!$M$111:$M$124,'[1]Calculation sheet'!$F$147:$F$148,'[1]Calculation sheet'!$F$150,'[1]Calculation sheet'!$K$147:$K$148,'[1]Calculation sheet'!$K$150,'[1]Calculation sheet'!$F$190,'[1]Calculation sheet'!$F$193,'[1]Calculation sheet'!$K$192,'[1]Calculation sheet'!$F$203</definedName>
    <definedName name="Color_USERINPUT">'[1]Calculation sheet'!$F$157,'[1]Calculation sheet'!$I$3:$I$8,'[1]Calculation sheet'!$F$140,'[1]Calculation sheet'!$F$13:$G$25,'[1]Calculation sheet'!$I$13:$I$25,'[1]Calculation sheet'!$AM$13:$AM$25,'[1]Calculation sheet'!$L$13:$L$25,'[1]Calculation sheet'!$F$27:$G$37,'[1]Calculation sheet'!$I$27:$I$37,'[1]Calculation sheet'!$AM$27:$AM$37,'[1]Calculation sheet'!$L$27:$L$37,'[1]Calculation sheet'!$F$39:$G$74,'[1]Calculation sheet'!$I$39:$I$74,'[1]Calculation sheet'!$AM$39:$AM$74,'[1]Calculation sheet'!$L$39:$L$74,'[1]Calculation sheet'!$F$76:$G$92,'[1]Calculation sheet'!$I$76:$I$92,'[1]Calculation sheet'!$AM$76:$AM$92,'[1]Calculation sheet'!$L$76:$L$92,'[1]Calculation sheet'!$F$94:$G$109,'[1]Calculation sheet'!$I$94:$I$109,'[1]Calculation sheet'!$AM$94:$AM$109,'[1]Calculation sheet'!$L$94:$L$109,'[1]Calculation sheet'!$F$111:$G$124,'[1]Calculation sheet'!$I$111:$I$124,'[1]Calculation sheet'!$AM$111:$AM$124,'[1]Calculation sheet'!$L$111:$L$124,'[1]Calculation sheet'!$F$126:$G$128,'[1]Calculation sheet'!$I$126:$I$128,'[1]Calculation sheet'!$AM$126:$AM$128,'[1]Calculation sheet'!$L$126:$L$128,'[1]Calculation sheet'!$W$126:$W$128,'[1]Calculation sheet'!$F$139,'[1]Calculation sheet'!$K$137:$K$139,'[1]Calculation sheet'!$P$138:$P$140,'[1]Calculation sheet'!$K$189:$K$191,'[1]Calculation sheet'!$F$202,'[1]Calculation sheet'!$F$204,'[1]Calculation sheet'!$B$226:$F$226,'[1]Calculation sheet'!$B$228:$F$228,'[1]Calculation sheet'!$F$233,'[1]Calculation sheet'!$F$235,'[1]Calculation sheet'!$P$233,'[1]Calculation sheet'!$D$261,'[1]Calculation sheet'!$N$261:$S$261,'[1]Calculation sheet'!$W$13:$W$25,'[1]Calculation sheet'!$W$27:$W$37,'[1]Calculation sheet'!$W$39:$W$74,'[1]Calculation sheet'!$W$76:$W$92,'[1]Calculation sheet'!$W$94:$W$109,'[1]Calculation sheet'!$W$111:$W$124,'[1]Calculation sheet'!$L$137:$L$139,'[1]Calculation sheet'!$P$189,'[1]Calculation sheet'!$P$191,'[1]Calculation sheet'!$P$192</definedName>
    <definedName name="Conseiller_Machinisme">#REF!,#REF!,#REF!,#REF!</definedName>
    <definedName name="Country">[2]Input!$I$11</definedName>
    <definedName name="Coût_production_Achat___t">#REF!</definedName>
    <definedName name="Cp" localSheetId="0">[3]DATA!$D$7</definedName>
    <definedName name="Cp">[1]DATA!$D$7</definedName>
    <definedName name="CT_Benne">#REF!</definedName>
    <definedName name="CT_Chargeur">#REF!</definedName>
    <definedName name="CT_MO">#REF!</definedName>
    <definedName name="CT_Tracteur">#REF!</definedName>
    <definedName name="CUR">[4]Inputs!$K$8</definedName>
    <definedName name="CURRENT_UNIT">#REF!</definedName>
    <definedName name="CurrentDigesterAmountMetric">'[1]Input sheet Metric'!$F$150</definedName>
    <definedName name="CurrentDigesterSizeMetric">'[1]Input sheet Metric'!$F$147</definedName>
    <definedName name="CurrentSeconDigesterAmountMetric">'[1]Input sheet Metric'!$K$150</definedName>
    <definedName name="CurrentSeconDigesterSizeMetric">'[1]Input sheet Metric'!$K$147</definedName>
    <definedName name="d" localSheetId="1">IF(Capacidades_EIA!Values_Entered,Header_Row+Capacidades_EIA!Number_of_Payments,Header_Row)</definedName>
    <definedName name="d" localSheetId="0">IF(Processo!Values_Entered,Header_Row+Processo!Number_of_Payments,Header_Row)</definedName>
    <definedName name="d">IF(Values_Entered,Header_Row+Number_of_Payments,Header_Row)</definedName>
    <definedName name="d_" localSheetId="1">IF(Capacidades_EIA!Values_Entered,Header_Row+Capacidades_EIA!Number_of_Payments,Header_Row)</definedName>
    <definedName name="d_">IF(Values_Entered,Header_Row+Number_of_Payments,Header_Row)</definedName>
    <definedName name="Daniel">#REF!</definedName>
    <definedName name="Data">#REF!</definedName>
    <definedName name="DATSHT">#REF!</definedName>
    <definedName name="days_in_y">[2]Input!$I$181</definedName>
    <definedName name="Days_UAB" localSheetId="1">#REF!</definedName>
    <definedName name="Days_UAB">VOLUME_DIGESTORES!$C$11</definedName>
    <definedName name="DaysUAB">VOLUME_DIGESTORES!$C$11</definedName>
    <definedName name="Décharge">#REF!</definedName>
    <definedName name="Decomp_Gas">[2]Input!$I$106</definedName>
    <definedName name="DeltaT_Dig">[2]Input!$I$131</definedName>
    <definedName name="Density_blended_mix">[1]DATA!$D$296</definedName>
    <definedName name="Density_CO2">[1]DATA!$D$32</definedName>
    <definedName name="Density_feedstock">[1]DATA!$D$30</definedName>
    <definedName name="Density_H2S">[1]DATA!$D$34</definedName>
    <definedName name="Density_LCO2">[1]DATA!$D$33</definedName>
    <definedName name="Density_methane">[1]DATA!$D$31</definedName>
    <definedName name="DeOXO">'[1]Calculation sheet'!$F$241</definedName>
    <definedName name="DeOXO_Imperial">'[1]Input sheet Imperial'!$F$240</definedName>
    <definedName name="DeOXO_Metric">'[1]Input sheet Metric'!$F$244</definedName>
    <definedName name="Deviate">#REF!</definedName>
    <definedName name="dgjhdghj">#REF!</definedName>
    <definedName name="DGT_Rooftype">'[1]Calculation sheet'!$F$157</definedName>
    <definedName name="dh">#REF!</definedName>
    <definedName name="Dig_Stor_Month">[2]Input!$I$40</definedName>
    <definedName name="DIG_T°">[2]Input!$I$109</definedName>
    <definedName name="Dig_Treatmt">[2]Input!$I$57</definedName>
    <definedName name="Digestat_Brut">#REF!</definedName>
    <definedName name="DigestatLiquide">#REF!</definedName>
    <definedName name="DigestatSec">#REF!</definedName>
    <definedName name="DigestatSolide">#REF!</definedName>
    <definedName name="DigSolid_Stor_Month">[2]Input!$I$41</definedName>
    <definedName name="Distance">#REF!</definedName>
    <definedName name="DM_limit">[2]Input!$I$108</definedName>
    <definedName name="DM_Liq_Dig">[2]Input!$I$139</definedName>
    <definedName name="DM_Liq_Dig_Centri">[2]Input!$I$138</definedName>
    <definedName name="DM_Solid_Dig">[2]Input!$I$137</definedName>
    <definedName name="DONNEESTABLEAUDEBORD">#REF!</definedName>
    <definedName name="Durée">#REF!</definedName>
    <definedName name="DureeStockProdLiq">#REF!</definedName>
    <definedName name="DureeStockProdSol">#REF!</definedName>
    <definedName name="DW_EDO_O2021" localSheetId="0">#REF!</definedName>
    <definedName name="DW_EDO_O2021">#REF!</definedName>
    <definedName name="DZIEŃ">#REF!</definedName>
    <definedName name="E">#REF!</definedName>
    <definedName name="E_CONSUMPTION_CO2">[1]DATA!$D$22</definedName>
    <definedName name="E_Consumption_LNG">[1]DATA!$D$21</definedName>
    <definedName name="Ef">#REF!</definedName>
    <definedName name="ElectrolysisConvF" localSheetId="0">#REF!</definedName>
    <definedName name="ElectrolysisConvF">#REF!</definedName>
    <definedName name="End_Bal">#REF!</definedName>
    <definedName name="Energy_content_CH4_GAS">[1]DATA!$D$711</definedName>
    <definedName name="Energy_content_CH4_LIQ">[1]DATA!$D$710</definedName>
    <definedName name="EpandageLiquide">#REF!</definedName>
    <definedName name="EpandageSolide">#REF!</definedName>
    <definedName name="Estimated_digestate">[1]DATA!$D$113</definedName>
    <definedName name="Evapo">#REF!</definedName>
    <definedName name="Extra_Pay">#REF!</definedName>
    <definedName name="Feld1">#REF!</definedName>
    <definedName name="Feld10">#REF!</definedName>
    <definedName name="Feld2">#REF!</definedName>
    <definedName name="Feld3">#REF!</definedName>
    <definedName name="Feld4">#REF!</definedName>
    <definedName name="Feld6">#REF!</definedName>
    <definedName name="Feld7">#REF!</definedName>
    <definedName name="Feld8">#REF!</definedName>
    <definedName name="Feld9">#REF!</definedName>
    <definedName name="FIT_CHP_HOURS">'[1]Calculation sheet'!$K$228</definedName>
    <definedName name="FIT_THERMAL_AVAILABLE">'[1]Calculation sheet'!$P$215</definedName>
    <definedName name="FONT">#REF!</definedName>
    <definedName name="FORMAT_Titles">'[1]Calculation sheet'!$N$134,'[1]Calculation sheet'!$N$145,'[1]Calculation sheet'!$I$145,'[1]Calculation sheet'!$I$134,'[1]Calculation sheet'!$B$134,'[1]Calculation sheet'!$B$145,'[1]Calculation sheet'!#REF!,'[1]Calculation sheet'!$B$187,'[1]Calculation sheet'!$I$187,'[1]Calculation sheet'!$I$199,'[1]Calculation sheet'!$N$199,'[1]Calculation sheet'!$B$199,'[1]Calculation sheet'!$B$223,'[1]Calculation sheet'!$B$230,'[1]Calculation sheet'!$N$230,'[1]Calculation sheet'!$B$255</definedName>
    <definedName name="Fresh_Fd_stor">[2]Input!$I$152</definedName>
    <definedName name="Full_Print">#REF!</definedName>
    <definedName name="g">#REF!</definedName>
    <definedName name="GAS_TO_CHP">'[1]Calculation sheet'!$F$202</definedName>
    <definedName name="GAS_TO_CHP_Metric">#REF!</definedName>
    <definedName name="GAS_TO_GASBOILER">'[1]Calculation sheet'!$F$204</definedName>
    <definedName name="GAS_TO_GASBOILER_Imperial">'[1]Input sheet Imperial'!$F$203</definedName>
    <definedName name="GAS_TO_GASBOILER_Metric">#REF!</definedName>
    <definedName name="GAS_TO_UPG">'[1]Calculation sheet'!$F$203</definedName>
    <definedName name="GasConstant">[1]DATA!$D$8</definedName>
    <definedName name="Gisement_residus_cultures">#REF!</definedName>
    <definedName name="GO_gaz_nat">#REF!</definedName>
    <definedName name="Greenstep_Dosing">'[1]Calculation sheet'!$F$128</definedName>
    <definedName name="Greenstep_Recommended_Dosing">[1]DATA!$D$684</definedName>
    <definedName name="Ground_PV_area">[2]Input!$I$36</definedName>
    <definedName name="Ground_PV_Dsty">[2]Input!$I$126</definedName>
    <definedName name="H2OQUALITY">#REF!</definedName>
    <definedName name="Hall">[2]Input!$I$51</definedName>
    <definedName name="Hall_w">[2]Input!$I$167</definedName>
    <definedName name="Header_Row">ROW(#REF!)</definedName>
    <definedName name="Heat_Average_withoutBoiler">'[1]Calculation sheet'!$Q$202:$Q$203,'[1]Calculation sheet'!$Q$205:$Q$213</definedName>
    <definedName name="heat_pump_yield">[2]Input!$I$132</definedName>
    <definedName name="Heat_source">[2]Input!$I$56</definedName>
    <definedName name="heat_yield">[2]Input!$I$118</definedName>
    <definedName name="Heatpump_COP">'[1]Calculation sheet'!$F$211</definedName>
    <definedName name="HeatRecovery_CO2_LIQ">[1]DATA!$D$36</definedName>
    <definedName name="HHV_CH4">[2]Input!$I$185</definedName>
    <definedName name="HHV_metric">[1]DATA!$D$13</definedName>
    <definedName name="hlyio">#REF!</definedName>
    <definedName name="Hopper_L">[2]Input!$I$154</definedName>
    <definedName name="hours_in_y">[2]Input!$I$180</definedName>
    <definedName name="Hours_UAB" localSheetId="1">#REF!</definedName>
    <definedName name="Hours_UAB">#REF!</definedName>
    <definedName name="Hours_Upgrading" localSheetId="1">#REF!</definedName>
    <definedName name="Hours_Upgrading">#REF!</definedName>
    <definedName name="HR_CO2LIQ">'[1]Calculation sheet'!$J$250</definedName>
    <definedName name="HRT">[2]Input!$I$105</definedName>
    <definedName name="HYG_T°">[2]Input!$I$110</definedName>
    <definedName name="index_co2">#REF!</definedName>
    <definedName name="Int">#REF!</definedName>
    <definedName name="Interest_Rate">#REF!</definedName>
    <definedName name="ISDND?">#REF!</definedName>
    <definedName name="ISNDN">#REF!</definedName>
    <definedName name="j">#REF!</definedName>
    <definedName name="Jean_François_CORBIN">#REF!,#REF!,#REF!,#REF!,#REF!,#REF!</definedName>
    <definedName name="K2O">#REF!</definedName>
    <definedName name="Kunde">#REF!</definedName>
    <definedName name="Language_index" localSheetId="0">[3]VAR!$S$23</definedName>
    <definedName name="Language_index">[1]VAR!$S$23</definedName>
    <definedName name="Last_Row" localSheetId="1">IF(Capacidades_EIA!Values_Entered,Header_Row+Capacidades_EIA!Number_of_Payments,Header_Row)</definedName>
    <definedName name="Last_Row" localSheetId="0">IF(Processo!Values_Entered,Header_Row+Processo!Number_of_Payments,Header_Row)</definedName>
    <definedName name="Last_Row">IF(Values_Entered,Header_Row+Number_of_Payments,Header_Row)</definedName>
    <definedName name="Laufzettelnr.">#REF!</definedName>
    <definedName name="LHV_CH4">[2]Input!$I$184</definedName>
    <definedName name="LHV_metric">[1]DATA!$D$16</definedName>
    <definedName name="Liquid_Fd_Dsty">[2]Input!$I$142</definedName>
    <definedName name="LIST_CHP">[1]!TABLE_CHP_SPECS[Type]</definedName>
    <definedName name="LIST_Languages">[1]VAR!$P$22:$P$39</definedName>
    <definedName name="LIST_Storage">[1]VAR!$V$6:$V$8</definedName>
    <definedName name="LIST_YesNo" localSheetId="0">[3]VAR!$P$6:$P$7</definedName>
    <definedName name="LIST_YesNo">[1]VAR!$P$6:$P$7</definedName>
    <definedName name="Loan_Amount">#REF!</definedName>
    <definedName name="Loan_Start">#REF!</definedName>
    <definedName name="Loan_Years">#REF!</definedName>
    <definedName name="Madre_resa">#REF!</definedName>
    <definedName name="Magic">#REF!</definedName>
    <definedName name="Marge_bas">#REF!,#REF!,#REF!,#REF!</definedName>
    <definedName name="Marge_haut">#REF!,#REF!,#REF!</definedName>
    <definedName name="MASS_ThinFraction">'[1]Calculation sheet'!$F$127</definedName>
    <definedName name="Methane_slip">[1]DATA!$D$712</definedName>
    <definedName name="MO">#REF!</definedName>
    <definedName name="Mol_per_Volume_Normal">[1]DATA!$D$27</definedName>
    <definedName name="Mol_per_Volume_Standard">[1]DATA!$D$28</definedName>
    <definedName name="MolarMass_H2S">[1]DATA!$D$11</definedName>
    <definedName name="months_in_y">[2]Input!$I$182</definedName>
    <definedName name="MS_Brut">#REF!</definedName>
    <definedName name="MS_Liquide">#REF!</definedName>
    <definedName name="MS_Solide">#REF!</definedName>
    <definedName name="MSdigestatbrut">#REF!</definedName>
    <definedName name="MSmaxi">#REF!</definedName>
    <definedName name="MSmini">#REF!</definedName>
    <definedName name="N_limit">[2]Input!$I$107</definedName>
    <definedName name="N_org">#REF!</definedName>
    <definedName name="NbMwh">#REF!</definedName>
    <definedName name="Next" localSheetId="1">IF(Capacidades_EIA!Values_Entered,Header_Row+Capacidades_EIA!Number_of_Payments,Header_Row)</definedName>
    <definedName name="Next" localSheetId="0">IF(Processo!Values_Entered,Header_Row+Processo!Number_of_Payments,Header_Row)</definedName>
    <definedName name="Next">IF(Values_Entered,Header_Row+Number_of_Payments,Header_Row)</definedName>
    <definedName name="NG_boiler_yield">[2]Input!$I$119</definedName>
    <definedName name="nitrostripp">#REF!</definedName>
    <definedName name="Normal2Standard">[1]DATA!$D$29</definedName>
    <definedName name="NStocks">#REF!</definedName>
    <definedName name="Num_Pmt_Per_Year">#REF!</definedName>
    <definedName name="Number_of_Payments" localSheetId="1">MATCH(0.01,End_Bal,-1)+1</definedName>
    <definedName name="Number_of_Payments" localSheetId="0">MATCH(0.01,End_Bal,-1)+1</definedName>
    <definedName name="Number_of_Payments">MATCH(0.01,End_Bal,-1)+1</definedName>
    <definedName name="Oil_Fd_Dsty">[2]Input!$I$140</definedName>
    <definedName name="P">#REF!</definedName>
    <definedName name="P2O5">#REF!</definedName>
    <definedName name="Pay_Date">#REF!</definedName>
    <definedName name="Pay_Num">#REF!</definedName>
    <definedName name="Poit2">#REF!</definedName>
    <definedName name="post_HYG">[2]Input!$I$54</definedName>
    <definedName name="power_capa_raito">[2]Input!$I$133</definedName>
    <definedName name="power_consumption_share">[2]Input!$I$127</definedName>
    <definedName name="pre_HYG">[2]Input!$I$53</definedName>
    <definedName name="Prêt_Durée">#REF!</definedName>
    <definedName name="Prêt_Taux">#REF!</definedName>
    <definedName name="Price_Biomethane">'[1]Input data BC'!$G$175</definedName>
    <definedName name="Price_Electricity">'[1]Input data BC'!$G$176</definedName>
    <definedName name="Price_Heat">'[1]Input data BC'!$G$177</definedName>
    <definedName name="Princ">#REF!</definedName>
    <definedName name="_xlnm.Print_Area" localSheetId="1">Capacidades_EIA!$B$2:$G$60</definedName>
    <definedName name="_xlnm.Print_Area">#N/A</definedName>
    <definedName name="Print_Area_MI">#REF!</definedName>
    <definedName name="Print_Area_Reset" localSheetId="1">OFFSET(Full_Print,0,0,Capacidades_EIA!Last_Row)</definedName>
    <definedName name="Print_Area_Reset" localSheetId="0">OFFSET(Full_Print,0,0,Processo!Last_Row)</definedName>
    <definedName name="Print_Area_Reset">OFFSET(Full_Print,0,0,Last_Row)</definedName>
    <definedName name="Print_Titles_MI">#REF!</definedName>
    <definedName name="Prix_Achat">#REF!</definedName>
    <definedName name="PRODUKT">#REF!</definedName>
    <definedName name="ProjectNumber">[5]Input!$D$5</definedName>
    <definedName name="Puissance_Elec">#REF!</definedName>
    <definedName name="Puissance_Elec_installee">#REF!</definedName>
    <definedName name="PV">[2]Input!$I$35</definedName>
    <definedName name="PV_roof_dsty">[2]Input!$I$125</definedName>
    <definedName name="pw_yield">[2]Input!$I$117</definedName>
    <definedName name="pwr_centri_add">[2]Input!$I$128</definedName>
    <definedName name="Rampup" localSheetId="0">#REF!</definedName>
    <definedName name="Rampup">#REF!</definedName>
    <definedName name="RCa">#REF!</definedName>
    <definedName name="RCn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echage">#REF!</definedName>
    <definedName name="SeparationPhase">#REF!</definedName>
    <definedName name="Solid_Dig_Dsty">[2]Input!$I$143</definedName>
    <definedName name="Solid_Dig_H">[2]Input!$I$153</definedName>
    <definedName name="Solid_Fd_Dsty">[2]Input!$I$141</definedName>
    <definedName name="Solid_Fd_H">[2]Input!$I$164</definedName>
    <definedName name="Substrat">#REF!</definedName>
    <definedName name="Substrate">#REF!</definedName>
    <definedName name="Subunternehmer">#REF!</definedName>
    <definedName name="Taux">#REF!</definedName>
    <definedName name="Téléphone">#REF!,#REF!,#REF!,#REF!</definedName>
    <definedName name="thousand">[4]HardValues!$I$13</definedName>
    <definedName name="tonnage_à_steriliser">#REF!</definedName>
    <definedName name="Tonnage_Dig_Liq_Cerealier">#REF!</definedName>
    <definedName name="Tonnage_Dig_Sol_Cerealier">#REF!</definedName>
    <definedName name="Total_biogas">'[1]Calculation sheet'!$N$130</definedName>
    <definedName name="Total_biogas_Metric">#REF!</definedName>
    <definedName name="Total_Interest">#REF!</definedName>
    <definedName name="Total_Mensuel">#REF!</definedName>
    <definedName name="Total_Pay">#REF!</definedName>
    <definedName name="Tourteaux">#REF!</definedName>
    <definedName name="Truck_manoeuvrung">[2]Input!$I$163</definedName>
    <definedName name="TYDZIEŃ">#REF!</definedName>
    <definedName name="Upgrader_max_flow">'[1]Calculation sheet'!$F$236</definedName>
    <definedName name="V">#REF!</definedName>
    <definedName name="Values_Entered" localSheetId="1">IF(Loan_Amount*Interest_Rate*Loan_Years*Loan_Start&gt;0,1,0)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r">[6]VAR!$F$49</definedName>
    <definedName name="VAR_ADDITIONAL_TECHNOLOGY">[1]VAR!#REF!</definedName>
    <definedName name="VAR_ADGT">[1]VAR!$D$13</definedName>
    <definedName name="VAR_AirHeatPump">[1]VAR!$F$27</definedName>
    <definedName name="VAR_AirHeatPump_Imperial">[1]VAR!$D$27</definedName>
    <definedName name="VAR_AirHeatPump_Metric">[1]VAR!$E$27</definedName>
    <definedName name="VAR_Ammonia_Stripping">[1]VAR!$P$13</definedName>
    <definedName name="VAR_APPROVED">[1]VAR!$D$9</definedName>
    <definedName name="VAR_AS">[1]VAR!$D$20</definedName>
    <definedName name="VAR_BAG">[1]VAR!$V$10</definedName>
    <definedName name="VAR_BC_HEATPUMP">[1]VAR!$P$11</definedName>
    <definedName name="VAR_BIOGAS_BOILER">[1]VAR!$F$25</definedName>
    <definedName name="VAR_BIOGAS_BOILER_Imperial">[1]VAR!$D$25</definedName>
    <definedName name="VAR_BIOGAS_BOILER_Metric">[1]VAR!$E$25</definedName>
    <definedName name="VAR_BiomethaneCompressor">[1]VAR!$P$14</definedName>
    <definedName name="VAR_CO2_LIQUEFACTION">[1]VAR!$F$32</definedName>
    <definedName name="VAR_CO2_LIQUEFACTION_Imperial">[1]VAR!$D$32</definedName>
    <definedName name="VAR_CO2_LIQUEFACTION_Metric">[1]VAR!$E$32</definedName>
    <definedName name="VAR_DeOXO">[1]VAR!$P$15</definedName>
    <definedName name="VAR_Digestate_HeatPump">[1]VAR!$F$26</definedName>
    <definedName name="VAR_Digestate_HeatPump_Imperial">[1]VAR!$D$26</definedName>
    <definedName name="VAR_Digestate_HeatPump_Metric">[1]VAR!$E$26</definedName>
    <definedName name="VAR_EXTERNALHEATSOURCE">[1]VAR!$F$29</definedName>
    <definedName name="VAR_EXTERNALHEATSOURCE_Imperial">[1]VAR!$D$29</definedName>
    <definedName name="VAR_EXTERNALHEATSOURCE_Metric">[1]VAR!$E$29</definedName>
    <definedName name="VAR_FGC_1">[1]VAR!$P$8</definedName>
    <definedName name="VAR_FGC_2">[1]VAR!$P$9</definedName>
    <definedName name="VAR_FLARE">[1]VAR!$F$34</definedName>
    <definedName name="VAR_FLARE_Imperial">[1]VAR!$D$34</definedName>
    <definedName name="VAR_FLARE_Metric">[1]VAR!$E$34</definedName>
    <definedName name="VAR_GAS_CHP">[1]VAR!$F$23</definedName>
    <definedName name="VAR_GAS_CHP_Imperial">[1]VAR!$D$23</definedName>
    <definedName name="VAR_GAS_CHP_Metric">[1]VAR!$E$23</definedName>
    <definedName name="VAR_GAS_UPG">[1]VAR!$F$24</definedName>
    <definedName name="VAR_GAS_UPG_Imperial">[1]VAR!$D$24</definedName>
    <definedName name="VAR_GAS_UPG_Metric">[1]VAR!$E$24</definedName>
    <definedName name="VAR_GREENSTEP">[1]VAR!$F$33</definedName>
    <definedName name="VAR_GREENSTEP_Imperial">[1]VAR!$D$33</definedName>
    <definedName name="VAR_GREENSTEP_Metric">[1]VAR!$E$33</definedName>
    <definedName name="VAR_HR_CO2LIQ">[1]VAR!$P$12</definedName>
    <definedName name="VAR_HR_Sanitation">[1]VAR!$F$35</definedName>
    <definedName name="VAR_ITER">[1]VAR!$D$7</definedName>
    <definedName name="VAR_LAGOON">[1]VAR!$V$11</definedName>
    <definedName name="VAR_LI" localSheetId="0">[3]VAR!$D$16</definedName>
    <definedName name="VAR_LI">[1]VAR!$D$16</definedName>
    <definedName name="VAR_LNG_PRODUCTION">[1]VAR!$F$31</definedName>
    <definedName name="VAR_LNG_PRODUCTION_Imperial">[1]VAR!$D$31</definedName>
    <definedName name="VAR_LNG_PRODUCTION_Metric">[1]VAR!$E$31</definedName>
    <definedName name="VAR_Macerator">[1]VAR!$F$50</definedName>
    <definedName name="VAR_Macerator_Imperial">[1]VAR!$D$50</definedName>
    <definedName name="VAR_Macerator_Metric">[1]VAR!$E$50</definedName>
    <definedName name="VAR_MACRO">[1]VAR!$D$6</definedName>
    <definedName name="VAR_NATURALGASCHP">[1]VAR!$F$28</definedName>
    <definedName name="VAR_NATURALGASCHP_Imperial">[1]VAR!$D$28</definedName>
    <definedName name="VAR_NATURALGASCHP_Metric">[1]VAR!$E$28</definedName>
    <definedName name="VAR_SEP">[1]VAR!$D$19</definedName>
    <definedName name="VAR_SI">[1]VAR!$D$17</definedName>
    <definedName name="VAR_SludgeSludge_HeatRecovery">[1]VAR!$F$30</definedName>
    <definedName name="VAR_SludgeSludge_HeatRecovery_Imperial">[1]VAR!$D$30</definedName>
    <definedName name="VAR_SludgeSludge_HeatRecovery_Metric">[1]VAR!$E$30</definedName>
    <definedName name="VAR_Stage2Sep">[1]VAR!$F$49</definedName>
    <definedName name="VAR_Stage2Sep_Imperial">[1]VAR!$D$49</definedName>
    <definedName name="VAR_Stage2Sep_Metric">[1]VAR!$E$49</definedName>
    <definedName name="VAR_TANK">[1]VAR!$V$9</definedName>
    <definedName name="VAR_TOGGLE_COMMENTS">[1]VAR!$F$39</definedName>
    <definedName name="VAR_TOGGLE_COMMENTS_Imperial">[1]VAR!$D$39</definedName>
    <definedName name="VAR_TOGGLE_COMMENTS_Metric">[1]VAR!$E$39</definedName>
    <definedName name="VAR_TOGGLE_DETAILS">[1]VAR!$F$38</definedName>
    <definedName name="VAR_TOGGLE_DETAILS_Imperial">[1]VAR!$D$38</definedName>
    <definedName name="VAR_TOGGLE_DETAILS_Metric">[1]VAR!$E$38</definedName>
    <definedName name="VAR_TOGGLE_ENGLISH">[1]VAR!$U$22</definedName>
    <definedName name="VAR_TOGGLE_LEGEND">[1]VAR!$F$40</definedName>
    <definedName name="VAR_TOGGLE_LEGEND_Imperial">[1]VAR!$D$40</definedName>
    <definedName name="VAR_TOGGLE_LEGEND_Metric">[1]VAR!$E$40</definedName>
    <definedName name="Vitesse">#REF!</definedName>
    <definedName name="Voie">#REF!</definedName>
    <definedName name="Voie_metha">#REF!</definedName>
    <definedName name="Volume_digesteur">#REF!</definedName>
    <definedName name="Währungen">#REF!</definedName>
    <definedName name="Water_heat_capacity">[2]Input!$I$188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28" l="1"/>
  <c r="D12" i="27"/>
  <c r="D4" i="4" l="1"/>
  <c r="F4" i="4" s="1"/>
  <c r="D5" i="4"/>
  <c r="F5" i="4" s="1"/>
  <c r="D6" i="4"/>
  <c r="F6" i="4" s="1"/>
  <c r="D3" i="4"/>
  <c r="F3" i="4" s="1"/>
  <c r="M37" i="28"/>
  <c r="L37" i="28"/>
  <c r="L43" i="28" s="1"/>
  <c r="M43" i="28" s="1"/>
  <c r="R35" i="28"/>
  <c r="Q34" i="28"/>
  <c r="R34" i="28" s="1"/>
  <c r="M27" i="28"/>
  <c r="D13" i="27" s="1"/>
  <c r="L19" i="28"/>
  <c r="P16" i="28"/>
  <c r="R16" i="28" l="1"/>
  <c r="Q13" i="28"/>
  <c r="Q8" i="28"/>
  <c r="Q7" i="28"/>
  <c r="R7" i="28" s="1"/>
  <c r="Q5" i="28"/>
  <c r="R5" i="28" s="1"/>
  <c r="P15" i="28"/>
  <c r="P14" i="28"/>
  <c r="P13" i="28"/>
  <c r="S13" i="28" s="1"/>
  <c r="P12" i="28"/>
  <c r="P11" i="28"/>
  <c r="S11" i="28" s="1"/>
  <c r="P10" i="28"/>
  <c r="P9" i="28"/>
  <c r="P8" i="28"/>
  <c r="S8" i="28" s="1"/>
  <c r="P7" i="28"/>
  <c r="S7" i="28" s="1"/>
  <c r="P6" i="28"/>
  <c r="P5" i="28"/>
  <c r="S5" i="28" s="1"/>
  <c r="I16" i="28"/>
  <c r="J16" i="28" s="1"/>
  <c r="H14" i="28"/>
  <c r="I14" i="28" s="1"/>
  <c r="J14" i="28" s="1"/>
  <c r="H13" i="28"/>
  <c r="I13" i="28" s="1"/>
  <c r="J13" i="28" s="1"/>
  <c r="H11" i="28"/>
  <c r="I11" i="28" s="1"/>
  <c r="J11" i="28" s="1"/>
  <c r="M16" i="28"/>
  <c r="M15" i="28"/>
  <c r="M14" i="28"/>
  <c r="D6" i="27" s="1"/>
  <c r="M13" i="28"/>
  <c r="D5" i="27" s="1"/>
  <c r="M12" i="28"/>
  <c r="M11" i="28"/>
  <c r="D4" i="27" s="1"/>
  <c r="M10" i="28"/>
  <c r="M9" i="28"/>
  <c r="M8" i="28"/>
  <c r="M7" i="28"/>
  <c r="M6" i="28"/>
  <c r="M5" i="28"/>
  <c r="D3" i="27" s="1"/>
  <c r="H5" i="28"/>
  <c r="I5" i="28" s="1"/>
  <c r="L17" i="28"/>
  <c r="L21" i="28" s="1"/>
  <c r="L26" i="28" s="1"/>
  <c r="Q17" i="28"/>
  <c r="L28" i="28" l="1"/>
  <c r="L34" i="28"/>
  <c r="L45" i="28" s="1"/>
  <c r="M45" i="28" s="1"/>
  <c r="L35" i="28"/>
  <c r="L44" i="28" s="1"/>
  <c r="M44" i="28" s="1"/>
  <c r="M26" i="28"/>
  <c r="M28" i="28" s="1"/>
  <c r="D11" i="27" s="1"/>
  <c r="E11" i="27" s="1"/>
  <c r="P26" i="28"/>
  <c r="J5" i="28"/>
  <c r="P35" i="28" l="1"/>
  <c r="S35" i="28" s="1"/>
  <c r="M35" i="28"/>
  <c r="P34" i="28"/>
  <c r="S34" i="28" s="1"/>
  <c r="M34" i="28"/>
  <c r="L36" i="28"/>
  <c r="L38" i="28" s="1"/>
  <c r="L42" i="28" s="1"/>
  <c r="M17" i="28"/>
  <c r="M21" i="28" s="1"/>
  <c r="L46" i="28" l="1"/>
  <c r="M42" i="28"/>
  <c r="M46" i="28" s="1"/>
  <c r="M36" i="28"/>
  <c r="M38" i="28" s="1"/>
  <c r="C7" i="27"/>
  <c r="C12" i="27"/>
  <c r="E12" i="27" l="1"/>
  <c r="C4" i="27" l="1"/>
  <c r="E4" i="27" l="1"/>
  <c r="C3" i="27"/>
  <c r="C5" i="27"/>
  <c r="C6" i="27" l="1"/>
  <c r="E6" i="27"/>
  <c r="E5" i="27"/>
  <c r="E7" i="27"/>
  <c r="E3" i="27"/>
  <c r="D8" i="27"/>
  <c r="C8" i="27" l="1"/>
  <c r="E8" i="27"/>
  <c r="C13" i="27" l="1"/>
  <c r="E13" i="27"/>
  <c r="C11" i="27" l="1"/>
  <c r="F7" i="4" l="1"/>
  <c r="Q26" i="28" l="1"/>
  <c r="C14" i="27"/>
  <c r="R26" i="28"/>
  <c r="S26" i="28"/>
  <c r="R13" i="28"/>
  <c r="R11" i="28"/>
  <c r="R8" i="28"/>
  <c r="R17" i="28"/>
</calcChain>
</file>

<file path=xl/sharedStrings.xml><?xml version="1.0" encoding="utf-8"?>
<sst xmlns="http://schemas.openxmlformats.org/spreadsheetml/2006/main" count="332" uniqueCount="209">
  <si>
    <t>ENTRADA</t>
  </si>
  <si>
    <t>Linha</t>
  </si>
  <si>
    <t>Diagrama de Processo</t>
  </si>
  <si>
    <t>Domínio</t>
  </si>
  <si>
    <t>Matérias-primas</t>
  </si>
  <si>
    <t>Código LER</t>
  </si>
  <si>
    <t>Capacidade Linhas (t/ano)</t>
  </si>
  <si>
    <t>Capacidade Linhas (t/dia)</t>
  </si>
  <si>
    <t>Capacidade Linhas (t/h)</t>
  </si>
  <si>
    <t>Operação Estimada OTR (t/ano)</t>
  </si>
  <si>
    <t>Operação Estimada OTR (t/dia)</t>
  </si>
  <si>
    <t>Densidade (ton/m3)</t>
  </si>
  <si>
    <t>Capacidade Linhas (m3)</t>
  </si>
  <si>
    <t>Capacidade de Armazenamento INSTANTÂNEA (m3)</t>
  </si>
  <si>
    <t>Capacidade de Armazenamento INSTANTÂNEA (t)</t>
  </si>
  <si>
    <t>#dias armazenamento</t>
  </si>
  <si>
    <t>Linha 1</t>
  </si>
  <si>
    <t>A-101
A-102
A-103
↓
T-108
T-109
↓
BA-101
BA-102</t>
  </si>
  <si>
    <t>Matérias-primas sólidas sem higienização</t>
  </si>
  <si>
    <t>Estrume de Perú</t>
  </si>
  <si>
    <t>02 01 06</t>
  </si>
  <si>
    <t>Estrume de Galinha</t>
  </si>
  <si>
    <t>Estrume de Bovino</t>
  </si>
  <si>
    <t>Repiso de tomate / Restos de Vegetais 
Resíduos de tecidos vegetais</t>
  </si>
  <si>
    <t>02 03 04
02 01 03</t>
  </si>
  <si>
    <t>Retraço de tomate / Restos de Vegetais 
Resíduos de tecidos vegetais</t>
  </si>
  <si>
    <t>Lamas de processamento de tomate</t>
  </si>
  <si>
    <t>02 03 01</t>
  </si>
  <si>
    <t>Linha 2</t>
  </si>
  <si>
    <t>T-103
↓
T-105
T-106
T-107</t>
  </si>
  <si>
    <t>Bio resíduos a higienizar</t>
  </si>
  <si>
    <t>Restos e gorduras de matadouro</t>
  </si>
  <si>
    <t>02 02 02</t>
  </si>
  <si>
    <t>Vísceras e sangue</t>
  </si>
  <si>
    <t>Linha 3</t>
  </si>
  <si>
    <t>T-101 e T-102</t>
  </si>
  <si>
    <t>Matéria-prima líquida sem higienização</t>
  </si>
  <si>
    <t>Chorume de Suíno</t>
  </si>
  <si>
    <t>Linha 4</t>
  </si>
  <si>
    <t>T-102</t>
  </si>
  <si>
    <t>Bagaço de Azeitona
(2ª extração)</t>
  </si>
  <si>
    <t>02 03 04</t>
  </si>
  <si>
    <t>Bagaço de Uva</t>
  </si>
  <si>
    <t>02 07 04</t>
  </si>
  <si>
    <t>Linha 5</t>
  </si>
  <si>
    <t>T-104</t>
  </si>
  <si>
    <r>
      <rPr>
        <sz val="11"/>
        <color rgb="FF000000"/>
        <rFont val="Aptos Narrow"/>
        <scheme val="minor"/>
      </rPr>
      <t>Glicerinas, óleos usados e gorduras (</t>
    </r>
    <r>
      <rPr>
        <b/>
        <sz val="11"/>
        <color rgb="FF196B24"/>
        <rFont val="Aptos Narrow"/>
        <scheme val="minor"/>
      </rPr>
      <t>processamento oportunístico</t>
    </r>
    <r>
      <rPr>
        <sz val="11"/>
        <color rgb="FF000000"/>
        <rFont val="Aptos Narrow"/>
        <scheme val="minor"/>
      </rPr>
      <t xml:space="preserve"> e não considerado como matéria-prima neste momento)</t>
    </r>
  </si>
  <si>
    <t>n/a</t>
  </si>
  <si>
    <t>TOTAL</t>
  </si>
  <si>
    <t>Abastecimento de Água ao Processo</t>
  </si>
  <si>
    <t>Água</t>
  </si>
  <si>
    <t>Recirculação Digerido Líquido</t>
  </si>
  <si>
    <t>Dígerido Líquido</t>
  </si>
  <si>
    <t>PROCESSO - DIGESTÃO ANAERÓBIA</t>
  </si>
  <si>
    <t>Subproduto</t>
  </si>
  <si>
    <t>Volume Máximo (OTR) - m3</t>
  </si>
  <si>
    <t>Tempo de Retenção Hidráulica (HRT) - dias</t>
  </si>
  <si>
    <t>Digestão Primária e Digestão Secundária</t>
  </si>
  <si>
    <t>DIG-101 + DIG-102
DIG-103 + DIG-104</t>
  </si>
  <si>
    <t>Digestão Anaeróbia</t>
  </si>
  <si>
    <t>Digerido</t>
  </si>
  <si>
    <t>Biogás</t>
  </si>
  <si>
    <t>SAÍDA</t>
  </si>
  <si>
    <t>Saída - Sólido</t>
  </si>
  <si>
    <t>Digerido Sólido</t>
  </si>
  <si>
    <t>19 06 06</t>
  </si>
  <si>
    <t>Saída - Líquido</t>
  </si>
  <si>
    <t>Digerido Líquido</t>
  </si>
  <si>
    <t>19 06 05</t>
  </si>
  <si>
    <t>Recirculação</t>
  </si>
  <si>
    <t>Caudal nominal
t/ano</t>
  </si>
  <si>
    <t>Caudal nominal
t/dia</t>
  </si>
  <si>
    <t>Digerido Bruto</t>
  </si>
  <si>
    <t>Matérias Primas após digestão - Digerido Bruto</t>
  </si>
  <si>
    <t> </t>
  </si>
  <si>
    <t>Gestão do Digerido</t>
  </si>
  <si>
    <t>T-301</t>
  </si>
  <si>
    <t>Digerido Liquido</t>
  </si>
  <si>
    <t>Digerido Liquido - Recirculação</t>
  </si>
  <si>
    <t>T-303</t>
  </si>
  <si>
    <t>Digerido Liquido - Valorização</t>
  </si>
  <si>
    <t>T-302</t>
  </si>
  <si>
    <t>Digerido Sólido  - Valorização</t>
  </si>
  <si>
    <t>BALANÇO DO DIGERIDO</t>
  </si>
  <si>
    <t>Capacidade das Linhas de Alimentação</t>
  </si>
  <si>
    <t>Capacidade Instalada (ton/h)</t>
  </si>
  <si>
    <t>Capacidade Instalada (ton/dia)</t>
  </si>
  <si>
    <t>Capacidade Instalada (ton/ano)</t>
  </si>
  <si>
    <t>Horas de funcionamento Diárias</t>
  </si>
  <si>
    <t>Comentários</t>
  </si>
  <si>
    <t>Linha 1 - Matérias-primas sólidas sem higienização</t>
  </si>
  <si>
    <t>Notas:
1) A capacidade instalada para valorização de efluentes pecuários é determinada pela capacidade das linhas de alimentação desses efluentes aos digestores e pela capacidade dos digestores.
2) A capacidade dos equipamentos será superior à necessária e em muitos casos instalados com redundância. 
3) A potência dos equipamentos não representa a capacidade da instalação porque esta fica limitada à quantidade de efluentes a processar anualmente.
4) A massa volúmica da mistura das matérias-primas, incluindo a sua diluição com água de processo (18.250 t/ano) e com a recirculação do digerido líquido (52.925 t/ano, TS = 5,5%), à entrada nos digestores é de 1.000 kg/m³. Este valor é consistente com a prática corrente em sistemas CSTR mesofílicos com teor em matéria seca à entrada entre 10–20%
5) A Linha 5 - tem um funcionamento ocasional e oportunistico, dependente da disponibilidade de resíduos.</t>
  </si>
  <si>
    <t>Linha 2 - Bio resíduos a higienizar</t>
  </si>
  <si>
    <t>Linha 3 - Matéria-prima líquida sem higienização</t>
  </si>
  <si>
    <t>Linha 4 - Matéria-prima sem higienização - Polpas</t>
  </si>
  <si>
    <t>Linha 5 - Matéria-prima sem higienização</t>
  </si>
  <si>
    <t xml:space="preserve">Total Capacidade Instalada </t>
  </si>
  <si>
    <t>Capacidade dos Digestores</t>
  </si>
  <si>
    <t>Capacidade Instalada (m3/h)</t>
  </si>
  <si>
    <t>Capacidade Instalada (m3/dia)</t>
  </si>
  <si>
    <t>Matérias Primas após digestão - Digerido Bruto - (Inc. Agua)</t>
  </si>
  <si>
    <t>Notas:
1) Para o cálculo do HRT (tempo de retenção hidráulico) foram considerados os volumes úteis dos digestores e pós-digestores (19 310m3) bem como todas as matérias de entrada nos mesmos, incluindo a água de processo e a recirculação de digerido líquido. 
2) A massa volúmica da mistura das matérias-primas, incluindo a sua diluição com água de processo (18.250 t/ano) e com a recirculação do digerido líquido (52.925 t/ano, TS = 5,5%), à entrada nos digestores é de 1.000 kg/m³. Este valor é consistente com a prática corrente em sistemas CSTR mesofílicos com teor em matéria seca à entrada entre 10–20%</t>
  </si>
  <si>
    <t>Biogás (enviado para upgrading)</t>
  </si>
  <si>
    <t>HRT</t>
  </si>
  <si>
    <t>Capacidade dos principais equipamentos</t>
  </si>
  <si>
    <t>Correspondência</t>
  </si>
  <si>
    <t>Unidades</t>
  </si>
  <si>
    <t>Capacidade Nominal do equipamento</t>
  </si>
  <si>
    <t xml:space="preserve">Capacidade Utilizada UAB </t>
  </si>
  <si>
    <t>Linha 1 - Alimentação de Sólidos</t>
  </si>
  <si>
    <t>Área 1.4 &amp; 1.5</t>
  </si>
  <si>
    <t>Bomba de Água</t>
  </si>
  <si>
    <t>P-112</t>
  </si>
  <si>
    <t>m3/h</t>
  </si>
  <si>
    <t xml:space="preserve">Funcionamento contínuo </t>
  </si>
  <si>
    <t>Biomix / Premix</t>
  </si>
  <si>
    <t>BA-101</t>
  </si>
  <si>
    <t xml:space="preserve">Funcionamento contínuo - Sólidos divididos entre Biomix BA-101 e BA-102; preparado para funcionar em com redundância </t>
  </si>
  <si>
    <t>Bomba excêntrica</t>
  </si>
  <si>
    <t>P-102</t>
  </si>
  <si>
    <t>BA-102</t>
  </si>
  <si>
    <t>P-103</t>
  </si>
  <si>
    <t>Linha 2 - Higienização</t>
  </si>
  <si>
    <t>Áreas 1.6 &amp; 1.7</t>
  </si>
  <si>
    <t>Bomba Excêntrica tipo parafuso</t>
  </si>
  <si>
    <t>P-101</t>
  </si>
  <si>
    <t>Enchimento de 1 de cada vez em funcionamento alternado - Max 15m3/h durante 30 min</t>
  </si>
  <si>
    <t xml:space="preserve">Rotacut </t>
  </si>
  <si>
    <t>R-101</t>
  </si>
  <si>
    <t>Tanque de Higienização 1</t>
  </si>
  <si>
    <t>T-105</t>
  </si>
  <si>
    <t>m3</t>
  </si>
  <si>
    <t>Funcionamento Alternado - Max 15m3/h durante 1h</t>
  </si>
  <si>
    <t>Tanque de Higienização 2</t>
  </si>
  <si>
    <t>T-106</t>
  </si>
  <si>
    <t>Tanque de Higienização 3</t>
  </si>
  <si>
    <t>T-107</t>
  </si>
  <si>
    <t>P-104</t>
  </si>
  <si>
    <t>Esvaziamento de 1 de cada vez em funcionamento alternado - Max 15m3/h durante 30 min</t>
  </si>
  <si>
    <t>Linhas 3 &amp; 4 - Receção e Alimentação de Líquidos sem higienização</t>
  </si>
  <si>
    <t>Áreas 1.8 &amp; 1.9</t>
  </si>
  <si>
    <t>Bomba de Corte</t>
  </si>
  <si>
    <t>P-109</t>
  </si>
  <si>
    <t xml:space="preserve">Funcionamento contínuo - Líquidos divididos entre bombas P-109 e P-110; preparado para funcionar em com redundância </t>
  </si>
  <si>
    <t>P-110</t>
  </si>
  <si>
    <t>Linha 5 - Receção e Alimentação de Glicerina e Gordura sem higienização</t>
  </si>
  <si>
    <t>1.10</t>
  </si>
  <si>
    <t>Tanque de Fibra de Vidro - isolado</t>
  </si>
  <si>
    <t xml:space="preserve">Funcionamento Oportunistico </t>
  </si>
  <si>
    <t>P-111</t>
  </si>
  <si>
    <t>Digestor Primário</t>
  </si>
  <si>
    <t>2.1</t>
  </si>
  <si>
    <t>Tanque em Betão</t>
  </si>
  <si>
    <t>DIG-101</t>
  </si>
  <si>
    <t>Funcionamento continuo e equipamento dimensionado com 50 dias de HRT</t>
  </si>
  <si>
    <t>2.2</t>
  </si>
  <si>
    <t>DIG-102</t>
  </si>
  <si>
    <t>Digestor Secundário</t>
  </si>
  <si>
    <t>2.3</t>
  </si>
  <si>
    <t>DIG-103</t>
  </si>
  <si>
    <t>2.4</t>
  </si>
  <si>
    <t>DIG-104</t>
  </si>
  <si>
    <t>Estação de Bombagem</t>
  </si>
  <si>
    <t>2.5</t>
  </si>
  <si>
    <t>Bomba excêntrica &gt; Premix</t>
  </si>
  <si>
    <t>P-105</t>
  </si>
  <si>
    <t xml:space="preserve">Funcionamento contínuo - Gestão de Entradas nos Digestores e Diluição de Sólidos - divididos entre P-105 e P-106; preparado para funcionar em com redundância </t>
  </si>
  <si>
    <t>P-106</t>
  </si>
  <si>
    <t>Bomba excêntrica &gt; recirculação &gt; DA &gt; separação</t>
  </si>
  <si>
    <t>P-107</t>
  </si>
  <si>
    <t xml:space="preserve">Funcionamento contínuo - Gestão do Digerido Bruto divididos entre P-107 e P-108; preparado para funcionar em com redundância </t>
  </si>
  <si>
    <t>P-108</t>
  </si>
  <si>
    <t>Sistema de Produção e Gestão de Calor</t>
  </si>
  <si>
    <t>3.4</t>
  </si>
  <si>
    <t>Caldeira a biogás</t>
  </si>
  <si>
    <t>BOIL-201</t>
  </si>
  <si>
    <t>kWth</t>
  </si>
  <si>
    <t xml:space="preserve">Funcionamento  4026h </t>
  </si>
  <si>
    <t>Separação de Fases I</t>
  </si>
  <si>
    <t>Áreas 4.1 &amp; 4.2</t>
  </si>
  <si>
    <t>Separador de parafuso</t>
  </si>
  <si>
    <t>S-301</t>
  </si>
  <si>
    <t xml:space="preserve">Funcionamento contínuo - Gestão do Digerido Bruto </t>
  </si>
  <si>
    <t>P-301</t>
  </si>
  <si>
    <t>Silo</t>
  </si>
  <si>
    <t>Armazenamento para 19 dias</t>
  </si>
  <si>
    <t>Lagoas</t>
  </si>
  <si>
    <t>Armazenamento para 185 dias - &gt;6meses</t>
  </si>
  <si>
    <t>Purificação (upgrading)</t>
  </si>
  <si>
    <t>3.1</t>
  </si>
  <si>
    <t>Sistema de Purificação</t>
  </si>
  <si>
    <t>MM-201</t>
  </si>
  <si>
    <t>Nm3/h</t>
  </si>
  <si>
    <t>Funcionamento contínuo 8500h</t>
  </si>
  <si>
    <t>Tocha (Flare)</t>
  </si>
  <si>
    <t>3.3</t>
  </si>
  <si>
    <t>Soprador / Ventilador</t>
  </si>
  <si>
    <t>FL-101</t>
  </si>
  <si>
    <t xml:space="preserve">Funcionamento  206h </t>
  </si>
  <si>
    <t>Dados de base</t>
  </si>
  <si>
    <t>Diâmetro (m)</t>
  </si>
  <si>
    <t>Área (m2)</t>
  </si>
  <si>
    <t>H_útil (m)
[digestor]</t>
  </si>
  <si>
    <t>Volume Op. Máx.(m3)</t>
  </si>
  <si>
    <t>Digestor DIG-101</t>
  </si>
  <si>
    <t>Digestor DIG-102</t>
  </si>
  <si>
    <t>Pós-Digestor DIG-103</t>
  </si>
  <si>
    <t>Pós-Digestor DIG-104</t>
  </si>
  <si>
    <t>DaysUAB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</si>
</sst>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_-* #,##0.0_-;\-* #,##0.0_-;_-* &quot;-&quot;??_-;_-@_-"/>
    <numFmt numFmtId="167" formatCode="_-* #,##0.00_-;_-* #,##0.00\-;_-* &quot;-&quot;??_-;_-@_-"/>
    <numFmt numFmtId="168" formatCode="_-* #,##0.0_-;\-* #,##0.0_-;_-* &quot;-&quot;?_-;_-@_-"/>
  </numFmts>
  <fonts count="2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theme="1"/>
      <name val="Roboto"/>
    </font>
    <font>
      <sz val="11"/>
      <name val="Calibri"/>
      <family val="2"/>
    </font>
    <font>
      <sz val="10"/>
      <color rgb="FF000000"/>
      <name val="Times New Roman"/>
      <family val="1"/>
    </font>
    <font>
      <b/>
      <sz val="9"/>
      <color theme="1"/>
      <name val="Roboto"/>
    </font>
    <font>
      <b/>
      <sz val="9"/>
      <color rgb="FF000000"/>
      <name val="Roboto"/>
    </font>
    <font>
      <sz val="9"/>
      <color rgb="FF000000"/>
      <name val="Roboto"/>
    </font>
    <font>
      <sz val="9"/>
      <name val="Roboto"/>
    </font>
    <font>
      <sz val="11"/>
      <color rgb="FF9C57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i/>
      <sz val="11"/>
      <color theme="1" tint="0.34998626667073579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rgb="FFFFFFFF"/>
      <name val="Roboto"/>
    </font>
    <font>
      <sz val="11"/>
      <color rgb="FFFF0000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196B24"/>
      <name val="Aptos Narrow"/>
      <scheme val="minor"/>
    </font>
    <font>
      <sz val="11"/>
      <color theme="1"/>
      <name val="Aptos Narrow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856"/>
        <bgColor rgb="FF000000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 applyBorder="0"/>
    <xf numFmtId="9" fontId="7" fillId="0" borderId="0" applyFont="0" applyFill="0" applyBorder="0" applyAlignment="0" applyProtection="0"/>
    <xf numFmtId="0" fontId="9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0" fontId="6" fillId="0" borderId="0"/>
    <xf numFmtId="167" fontId="6" fillId="0" borderId="0" applyFont="0" applyFill="0" applyBorder="0" applyAlignment="0" applyProtection="0"/>
    <xf numFmtId="0" fontId="15" fillId="7" borderId="0" applyNumberFormat="0" applyBorder="0" applyAlignment="0" applyProtection="0"/>
  </cellStyleXfs>
  <cellXfs count="113">
    <xf numFmtId="0" fontId="0" fillId="0" borderId="0" xfId="0"/>
    <xf numFmtId="0" fontId="4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64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vertical="center" wrapText="1"/>
    </xf>
    <xf numFmtId="164" fontId="8" fillId="0" borderId="1" xfId="1" applyNumberFormat="1" applyFont="1" applyBorder="1" applyAlignment="1">
      <alignment horizontal="center" vertical="center" wrapText="1"/>
    </xf>
    <xf numFmtId="43" fontId="8" fillId="0" borderId="1" xfId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164" fontId="13" fillId="4" borderId="1" xfId="1" applyNumberFormat="1" applyFont="1" applyFill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4" fontId="8" fillId="0" borderId="0" xfId="1" applyNumberFormat="1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 wrapText="1"/>
    </xf>
    <xf numFmtId="164" fontId="8" fillId="0" borderId="0" xfId="1" applyNumberFormat="1" applyFont="1" applyAlignment="1">
      <alignment horizontal="center" wrapText="1"/>
    </xf>
    <xf numFmtId="0" fontId="11" fillId="0" borderId="0" xfId="0" applyFont="1" applyAlignment="1">
      <alignment wrapText="1"/>
    </xf>
    <xf numFmtId="0" fontId="11" fillId="4" borderId="4" xfId="0" applyFont="1" applyFill="1" applyBorder="1" applyAlignment="1">
      <alignment horizontal="center" vertical="center" wrapText="1"/>
    </xf>
    <xf numFmtId="164" fontId="11" fillId="4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vertical="center" wrapText="1"/>
    </xf>
    <xf numFmtId="164" fontId="8" fillId="0" borderId="0" xfId="1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top" wrapText="1"/>
    </xf>
    <xf numFmtId="164" fontId="11" fillId="4" borderId="1" xfId="1" applyNumberFormat="1" applyFont="1" applyFill="1" applyBorder="1" applyAlignment="1">
      <alignment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0" fontId="0" fillId="4" borderId="3" xfId="0" applyFill="1" applyBorder="1"/>
    <xf numFmtId="0" fontId="17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43" fontId="0" fillId="0" borderId="1" xfId="1" applyFont="1" applyFill="1" applyBorder="1" applyAlignment="1">
      <alignment vertical="center" wrapText="1"/>
    </xf>
    <xf numFmtId="164" fontId="0" fillId="0" borderId="1" xfId="1" applyNumberFormat="1" applyFont="1" applyFill="1" applyBorder="1" applyAlignment="1">
      <alignment vertical="center" wrapText="1"/>
    </xf>
    <xf numFmtId="166" fontId="0" fillId="0" borderId="1" xfId="1" applyNumberFormat="1" applyFont="1" applyFill="1" applyBorder="1" applyAlignment="1">
      <alignment horizontal="center" vertical="center" wrapText="1"/>
    </xf>
    <xf numFmtId="43" fontId="0" fillId="0" borderId="0" xfId="0" applyNumberFormat="1"/>
    <xf numFmtId="0" fontId="0" fillId="0" borderId="0" xfId="0" applyAlignment="1">
      <alignment horizontal="left" vertical="center"/>
    </xf>
    <xf numFmtId="0" fontId="16" fillId="6" borderId="1" xfId="0" applyFont="1" applyFill="1" applyBorder="1" applyAlignment="1">
      <alignment horizontal="center" vertical="center" wrapText="1"/>
    </xf>
    <xf numFmtId="164" fontId="16" fillId="6" borderId="1" xfId="1" applyNumberFormat="1" applyFont="1" applyFill="1" applyBorder="1" applyAlignment="1">
      <alignment horizontal="center" vertical="center" wrapText="1"/>
    </xf>
    <xf numFmtId="166" fontId="16" fillId="6" borderId="1" xfId="1" applyNumberFormat="1" applyFont="1" applyFill="1" applyBorder="1" applyAlignment="1">
      <alignment horizontal="center" vertical="center" wrapText="1"/>
    </xf>
    <xf numFmtId="164" fontId="18" fillId="0" borderId="1" xfId="11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166" fontId="1" fillId="2" borderId="1" xfId="1" applyNumberFormat="1" applyFont="1" applyFill="1" applyBorder="1" applyAlignment="1">
      <alignment horizontal="center" vertical="center" wrapText="1"/>
    </xf>
    <xf numFmtId="168" fontId="0" fillId="0" borderId="0" xfId="0" applyNumberFormat="1"/>
    <xf numFmtId="166" fontId="0" fillId="0" borderId="1" xfId="1" applyNumberFormat="1" applyFont="1" applyBorder="1" applyAlignment="1">
      <alignment horizontal="center" vertical="center" wrapText="1"/>
    </xf>
    <xf numFmtId="164" fontId="20" fillId="2" borderId="1" xfId="1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/>
    </xf>
    <xf numFmtId="0" fontId="0" fillId="5" borderId="3" xfId="0" applyFill="1" applyBorder="1"/>
    <xf numFmtId="43" fontId="0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vertical="center"/>
    </xf>
    <xf numFmtId="0" fontId="1" fillId="3" borderId="3" xfId="0" applyFont="1" applyFill="1" applyBorder="1" applyAlignment="1">
      <alignment horizontal="left" vertical="center"/>
    </xf>
    <xf numFmtId="0" fontId="0" fillId="3" borderId="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43" fontId="3" fillId="10" borderId="1" xfId="1" applyFont="1" applyFill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 wrapText="1"/>
    </xf>
    <xf numFmtId="0" fontId="12" fillId="12" borderId="5" xfId="0" applyFont="1" applyFill="1" applyBorder="1" applyAlignment="1">
      <alignment wrapText="1"/>
    </xf>
    <xf numFmtId="0" fontId="13" fillId="12" borderId="8" xfId="0" applyFont="1" applyFill="1" applyBorder="1" applyAlignment="1">
      <alignment wrapText="1"/>
    </xf>
    <xf numFmtId="164" fontId="12" fillId="12" borderId="9" xfId="0" applyNumberFormat="1" applyFont="1" applyFill="1" applyBorder="1" applyAlignment="1">
      <alignment wrapText="1"/>
    </xf>
    <xf numFmtId="164" fontId="22" fillId="0" borderId="1" xfId="1" applyNumberFormat="1" applyFont="1" applyBorder="1" applyAlignment="1">
      <alignment horizontal="center" vertical="center" wrapText="1"/>
    </xf>
    <xf numFmtId="164" fontId="16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7" xfId="0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164" fontId="0" fillId="0" borderId="4" xfId="1" applyNumberFormat="1" applyFont="1" applyBorder="1" applyAlignment="1">
      <alignment horizontal="center"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166" fontId="0" fillId="0" borderId="4" xfId="1" applyNumberFormat="1" applyFont="1" applyBorder="1" applyAlignment="1">
      <alignment horizontal="center" vertical="center" wrapText="1"/>
    </xf>
    <xf numFmtId="166" fontId="0" fillId="0" borderId="6" xfId="1" applyNumberFormat="1" applyFont="1" applyBorder="1" applyAlignment="1">
      <alignment horizontal="center" vertical="center" wrapText="1"/>
    </xf>
    <xf numFmtId="166" fontId="0" fillId="0" borderId="5" xfId="1" applyNumberFormat="1" applyFont="1" applyBorder="1" applyAlignment="1">
      <alignment horizontal="center" vertical="center" wrapText="1"/>
    </xf>
    <xf numFmtId="164" fontId="16" fillId="6" borderId="4" xfId="1" applyNumberFormat="1" applyFont="1" applyFill="1" applyBorder="1" applyAlignment="1">
      <alignment horizontal="center" vertical="center" wrapText="1"/>
    </xf>
    <xf numFmtId="164" fontId="16" fillId="6" borderId="5" xfId="1" applyNumberFormat="1" applyFont="1" applyFill="1" applyBorder="1" applyAlignment="1">
      <alignment horizontal="center" vertical="center" wrapText="1"/>
    </xf>
    <xf numFmtId="166" fontId="16" fillId="6" borderId="4" xfId="1" applyNumberFormat="1" applyFont="1" applyFill="1" applyBorder="1" applyAlignment="1">
      <alignment horizontal="center" vertical="center" wrapText="1"/>
    </xf>
    <xf numFmtId="166" fontId="16" fillId="6" borderId="5" xfId="1" applyNumberFormat="1" applyFont="1" applyFill="1" applyBorder="1" applyAlignment="1">
      <alignment horizontal="center" vertical="center" wrapText="1"/>
    </xf>
    <xf numFmtId="164" fontId="0" fillId="0" borderId="4" xfId="1" applyNumberFormat="1" applyFont="1" applyFill="1" applyBorder="1" applyAlignment="1">
      <alignment horizontal="center" vertical="center" wrapText="1"/>
    </xf>
    <xf numFmtId="164" fontId="0" fillId="0" borderId="6" xfId="1" applyNumberFormat="1" applyFont="1" applyFill="1" applyBorder="1" applyAlignment="1">
      <alignment horizontal="center" vertical="center" wrapText="1"/>
    </xf>
    <xf numFmtId="164" fontId="0" fillId="0" borderId="5" xfId="1" applyNumberFormat="1" applyFont="1" applyFill="1" applyBorder="1" applyAlignment="1">
      <alignment horizontal="center" vertical="center" wrapText="1"/>
    </xf>
    <xf numFmtId="166" fontId="0" fillId="0" borderId="1" xfId="1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</cellXfs>
  <cellStyles count="12">
    <cellStyle name="Comma" xfId="1" builtinId="3"/>
    <cellStyle name="Milliers 2" xfId="10" xr:uid="{0F81050D-0AB3-4A0F-A39C-B1480D113830}"/>
    <cellStyle name="Neutral" xfId="11" builtinId="28"/>
    <cellStyle name="Normal" xfId="0" builtinId="0"/>
    <cellStyle name="Normal 2" xfId="2" xr:uid="{55EC4616-641F-458F-9BE0-F27637804AE4}"/>
    <cellStyle name="Normal 3" xfId="5" xr:uid="{8F9F1A3D-2A2D-4523-9121-B42D8E14296E}"/>
    <cellStyle name="Normal 4" xfId="8" xr:uid="{6440AAFB-51F2-4EEE-86CB-7ABA1A847B5B}"/>
    <cellStyle name="Normal 5" xfId="9" xr:uid="{7023278E-E95C-4672-81E6-5FC51AD279D8}"/>
    <cellStyle name="Normale 4" xfId="3" xr:uid="{EACB9F6F-F55C-4F2F-BCAF-B3407BD2ADF8}"/>
    <cellStyle name="Percent 2" xfId="4" xr:uid="{306B86A3-0EC4-494D-93A6-B7B876D8A1AE}"/>
    <cellStyle name="Prozent 2" xfId="7" xr:uid="{E9583FEA-253A-4F0C-8078-5C74BE8DCDF5}"/>
    <cellStyle name="Prozent 3" xfId="6" xr:uid="{4D1332D9-489A-413B-AB38-48E3366A690A}"/>
  </cellStyles>
  <dxfs count="0"/>
  <tableStyles count="0" defaultTableStyle="TableStyleMedium2" defaultPivotStyle="PivotStyleLight16"/>
  <colors>
    <mruColors>
      <color rgb="FFFFFFCC"/>
      <color rgb="FFFC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sites/COMMUN/Documents%20partages/1-%20Deals/2-%20Signed%20deals/PT%20-%20Gas%20da%20Terra/6-%20Projects/Abrigada/Abrigada-scenario-V1%20-%20RM.xlsm" TargetMode="External"/><Relationship Id="rId2" Type="http://schemas.openxmlformats.org/officeDocument/2006/relationships/externalLinkPath" Target="https://swingbiomethane.sharepoint.com/sites/COMMUN/Documents%20partages/1-%20Deals/2-%20Signed%20deals/PT%20-%20Gas%20da%20Terra/6-%20Projects/Abrigada/Abrigada-scenario-V1%20-%20RM.xlsm" TargetMode="External"/><Relationship Id="rId1" Type="http://schemas.openxmlformats.org/officeDocument/2006/relationships/externalLinkPath" Target="/sites/COMMUN/Documents%20partages/1-%20Deals/2-%20Signed%20deals/PT%20-%20Gas%20da%20Terra/6-%20Projects/Abrigada/Abrigada-scenario-V1%20-%20RM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anS&#233;bastienTRONC\AppData\Local\Microsoft\Windows\INetCache\Content.Outlook\A3P1EC1F\COPIE%20pour%20Vallelado%20Estimated_CAPEX-OPEX%20v25_02_26.xlsm" TargetMode="External"/><Relationship Id="rId1" Type="http://schemas.openxmlformats.org/officeDocument/2006/relationships/externalLinkPath" Target="file:///C:\Users\JeanS&#233;bastienTRONC\AppData\Local\Microsoft\Windows\INetCache\Content.Outlook\A3P1EC1F\COPIE%20pour%20Vallelado%20Estimated_CAPEX-OPEX%20v25_02_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1-Swing%20Biomethane\5%20-%20Projets\Biogas%20Calc\UK\Longniddry\Longniddry-Biog%20calc%208.xlsm" TargetMode="External"/><Relationship Id="rId1" Type="http://schemas.openxmlformats.org/officeDocument/2006/relationships/externalLinkPath" Target="file:///C:\1-Swing%20Biomethane\5%20-%20Projets\Biogas%20Calc\UK\Longniddry\Longniddry-Biog%20calc%208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1-Swing%20Biomethane\5%20-%20Projets\suivi%20projets\PL\Nowek\260211_Nowe_Kiejkuty__Feedstock_v6__AB_farm%20visit1.xlsm" TargetMode="External"/><Relationship Id="rId1" Type="http://schemas.openxmlformats.org/officeDocument/2006/relationships/externalLinkPath" Target="file:///C:\1-Swing%20Biomethane\5%20-%20Projets\suivi%20projets\PL\Nowek\260211_Nowe_Kiejkuty__Feedstock_v6__AB_farm%20visit1.xlsm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1-Swing%20Biomethane\4%20-%20Technique\Tools\Upgrading%20design%20Tool.xlsm" TargetMode="External"/><Relationship Id="rId1" Type="http://schemas.openxmlformats.org/officeDocument/2006/relationships/externalLinkPath" Target="file:///C:\1-Swing%20Biomethane\4%20-%20Technique\Tools\Upgrading%20design%20Tool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chelMILLOT\Downloads\NoweK-Swing%20BgzCalc-V1.xlsm" TargetMode="External"/><Relationship Id="rId1" Type="http://schemas.openxmlformats.org/officeDocument/2006/relationships/externalLinkPath" Target="file:///C:\Users\RachelMILLOT\Downloads\NoweK-Swing%20BgzCalc-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ut sheet Imperial"/>
      <sheetName val="Input sheet Metric"/>
      <sheetName val="Feedstock brut"/>
      <sheetName val="Feedstock opt"/>
      <sheetName val="Synthèse feedstock"/>
      <sheetName val="Urbanistic"/>
      <sheetName val="Digestate"/>
      <sheetName val="Sanitation"/>
      <sheetName val="Calculation sheet"/>
      <sheetName val="Building"/>
      <sheetName val="Fiche synthèse"/>
      <sheetName val="Meteo data"/>
      <sheetName val="Water"/>
      <sheetName val="Reception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RNG_CNG Compressor (Old)"/>
      <sheetName val="Booster_CNG Compressor"/>
      <sheetName val="DATA"/>
      <sheetName val="TRANSLATIONS"/>
      <sheetName val="VAR"/>
      <sheetName val="Abrigada-scenario-V1 - 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SER"/>
      <sheetName val="Input SITE - feedstock"/>
      <sheetName val="Feedstock Lines"/>
      <sheetName val="Input"/>
      <sheetName val="FlowSheet"/>
      <sheetName val="Transport"/>
      <sheetName val="Digestate"/>
      <sheetName val="Block CAPEX"/>
      <sheetName val="Block OPEX"/>
      <sheetName val="CAPEX"/>
      <sheetName val="OPEX"/>
      <sheetName val="KPI Model"/>
      <sheetName val="DTF_Tech"/>
      <sheetName val="Calcul Maintenance"/>
      <sheetName val="Calcul Electrical consumption"/>
      <sheetName val="CAPEX - Info annexes"/>
      <sheetName val="Synthèse Capex "/>
      <sheetName val="Fiche détail CA &amp; Op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 sheet Imperial"/>
      <sheetName val="Input sheet Metric"/>
      <sheetName val="Sanitation scenario"/>
      <sheetName val="Sanitation downS"/>
      <sheetName val="Sanitation UpS"/>
      <sheetName val="Fiche de liaison"/>
      <sheetName val="Table intrants"/>
      <sheetName val="Calculation sheet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DATA"/>
      <sheetName val="DATA JST"/>
      <sheetName val="Premix"/>
      <sheetName val="TRANSLATIONS"/>
      <sheetName val="VAR"/>
      <sheetName val="Longniddry-Biog calc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Seasonality"/>
      <sheetName val="Cockpit"/>
      <sheetName val="Potential"/>
      <sheetName val="Contacts"/>
      <sheetName val="Conversion Table"/>
      <sheetName val="Calc"/>
      <sheetName val="Charts"/>
      <sheetName val="Checks"/>
      <sheetName val="Formatting Guide"/>
      <sheetName val="HardValues"/>
      <sheetName val="Feedstock DataBase"/>
      <sheetName val="Lists"/>
      <sheetName val="Transfer_Seasonality"/>
      <sheetName val="Transfer_Tech"/>
      <sheetName val="CI score"/>
      <sheetName val="Ref_Emission Factor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"/>
      <sheetName val="Rev."/>
      <sheetName val="Intake List"/>
      <sheetName val="GeneralSpec"/>
      <sheetName val="Process Parameters"/>
      <sheetName val="Technical Parameters"/>
      <sheetName val="Translations"/>
      <sheetName val="GridSpec"/>
      <sheetName val="PureP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 sheet Imperial"/>
      <sheetName val="Input sheet Metric"/>
      <sheetName val="Digestate"/>
      <sheetName val="Feedstock brut"/>
      <sheetName val="Feedestock opt"/>
      <sheetName val="Synthèse feedstock"/>
      <sheetName val="Sanitation"/>
      <sheetName val="Calculation sheet"/>
      <sheetName val="Building"/>
      <sheetName val="Fiche synthèse"/>
      <sheetName val="Meteo data"/>
      <sheetName val="Water"/>
      <sheetName val="Reception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RNG_CNG Compressor (Old)"/>
      <sheetName val="Booster_CNG Compressor"/>
      <sheetName val="DATA"/>
      <sheetName val="TRANSLATIONS"/>
      <sheetName val="V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871D-A54D-49F9-969F-155F5C10ACF9}">
  <sheetPr>
    <tabColor rgb="FF00B050"/>
    <pageSetUpPr fitToPage="1"/>
  </sheetPr>
  <dimension ref="A2:AA47"/>
  <sheetViews>
    <sheetView showGridLines="0" topLeftCell="A36" zoomScale="85" zoomScaleNormal="85" workbookViewId="0">
      <selection activeCell="J26" sqref="J26"/>
    </sheetView>
  </sheetViews>
  <sheetFormatPr defaultColWidth="8.5703125" defaultRowHeight="14.45"/>
  <cols>
    <col min="1" max="1" width="1.5703125" style="39" customWidth="1"/>
    <col min="2" max="2" width="23.42578125" customWidth="1"/>
    <col min="3" max="3" width="17.28515625" bestFit="1" customWidth="1"/>
    <col min="4" max="4" width="20.5703125" customWidth="1"/>
    <col min="5" max="5" width="52.140625" style="39" customWidth="1"/>
    <col min="6" max="6" width="15.5703125" style="39" customWidth="1"/>
    <col min="7" max="7" width="1.5703125" style="39" customWidth="1"/>
    <col min="8" max="10" width="10.42578125" style="39" bestFit="1" customWidth="1"/>
    <col min="11" max="11" width="1.5703125" style="39" customWidth="1"/>
    <col min="12" max="13" width="18.5703125" customWidth="1"/>
    <col min="14" max="14" width="1.5703125" style="39" customWidth="1"/>
    <col min="15" max="16" width="15.5703125" customWidth="1"/>
    <col min="17" max="18" width="20.85546875" customWidth="1"/>
    <col min="19" max="19" width="20.85546875" style="39" customWidth="1"/>
    <col min="21" max="21" width="8.5703125" hidden="1" customWidth="1"/>
    <col min="22" max="22" width="16.42578125" customWidth="1"/>
    <col min="24" max="24" width="10.140625" bestFit="1" customWidth="1"/>
    <col min="25" max="25" width="28.85546875" customWidth="1"/>
    <col min="26" max="26" width="10.5703125" customWidth="1"/>
  </cols>
  <sheetData>
    <row r="2" spans="2:23" ht="30" customHeight="1" thickBot="1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4" spans="2:23" ht="43.5">
      <c r="B4" s="42" t="s">
        <v>1</v>
      </c>
      <c r="C4" s="42" t="s">
        <v>2</v>
      </c>
      <c r="D4" s="42" t="s">
        <v>3</v>
      </c>
      <c r="E4" s="42" t="s">
        <v>4</v>
      </c>
      <c r="F4" s="42" t="s">
        <v>5</v>
      </c>
      <c r="H4" s="42" t="s">
        <v>6</v>
      </c>
      <c r="I4" s="42" t="s">
        <v>7</v>
      </c>
      <c r="J4" s="42" t="s">
        <v>8</v>
      </c>
      <c r="L4" s="42" t="s">
        <v>9</v>
      </c>
      <c r="M4" s="42" t="s">
        <v>10</v>
      </c>
      <c r="O4" s="42" t="s">
        <v>11</v>
      </c>
      <c r="P4" s="42" t="s">
        <v>12</v>
      </c>
      <c r="Q4" s="42" t="s">
        <v>13</v>
      </c>
      <c r="R4" s="42" t="s">
        <v>14</v>
      </c>
      <c r="S4" s="42" t="s">
        <v>15</v>
      </c>
    </row>
    <row r="5" spans="2:23" ht="36" customHeight="1">
      <c r="B5" s="92" t="s">
        <v>16</v>
      </c>
      <c r="C5" s="92" t="s">
        <v>17</v>
      </c>
      <c r="D5" s="92" t="s">
        <v>18</v>
      </c>
      <c r="E5" s="43" t="s">
        <v>19</v>
      </c>
      <c r="F5" s="43" t="s">
        <v>20</v>
      </c>
      <c r="H5" s="94">
        <f>+SUM(L5:L10)</f>
        <v>44200</v>
      </c>
      <c r="I5" s="94">
        <f>+H5/Days_UAB</f>
        <v>121.0958904109589</v>
      </c>
      <c r="J5" s="98">
        <f>+I5/24</f>
        <v>5.0456621004566209</v>
      </c>
      <c r="L5" s="44">
        <v>16058</v>
      </c>
      <c r="M5" s="44">
        <f t="shared" ref="M5:M16" si="0">+L5/Days_UAB</f>
        <v>43.994520547945207</v>
      </c>
      <c r="O5" s="45">
        <v>0.5</v>
      </c>
      <c r="P5" s="46">
        <f>+L5/O5</f>
        <v>32116</v>
      </c>
      <c r="Q5" s="109">
        <f>15*15*3</f>
        <v>675</v>
      </c>
      <c r="R5" s="109">
        <f>+Q5*O5</f>
        <v>337.5</v>
      </c>
      <c r="S5" s="108">
        <f>+Q5/(SUM(P5:P6)/365)</f>
        <v>7.2952445813099605</v>
      </c>
      <c r="W5" s="48"/>
    </row>
    <row r="6" spans="2:23" ht="36" customHeight="1">
      <c r="B6" s="97"/>
      <c r="C6" s="97"/>
      <c r="D6" s="97"/>
      <c r="E6" s="43" t="s">
        <v>21</v>
      </c>
      <c r="F6" s="43" t="s">
        <v>20</v>
      </c>
      <c r="H6" s="95"/>
      <c r="I6" s="95"/>
      <c r="J6" s="99"/>
      <c r="L6" s="44">
        <v>828</v>
      </c>
      <c r="M6" s="44">
        <f t="shared" si="0"/>
        <v>2.2684931506849315</v>
      </c>
      <c r="O6" s="45">
        <v>0.5</v>
      </c>
      <c r="P6" s="46">
        <f t="shared" ref="P6:P15" si="1">+L6/O6</f>
        <v>1656</v>
      </c>
      <c r="Q6" s="109"/>
      <c r="R6" s="109"/>
      <c r="S6" s="108"/>
      <c r="W6" s="48"/>
    </row>
    <row r="7" spans="2:23" ht="36" customHeight="1">
      <c r="B7" s="97"/>
      <c r="C7" s="97"/>
      <c r="D7" s="97"/>
      <c r="E7" s="43" t="s">
        <v>22</v>
      </c>
      <c r="F7" s="43" t="s">
        <v>20</v>
      </c>
      <c r="H7" s="95"/>
      <c r="I7" s="95"/>
      <c r="J7" s="99"/>
      <c r="L7" s="44">
        <v>17744</v>
      </c>
      <c r="M7" s="44">
        <f t="shared" si="0"/>
        <v>48.613698630136987</v>
      </c>
      <c r="O7" s="45">
        <v>0.6</v>
      </c>
      <c r="P7" s="46">
        <f t="shared" si="1"/>
        <v>29573.333333333336</v>
      </c>
      <c r="Q7" s="44">
        <f>15*11*3</f>
        <v>495</v>
      </c>
      <c r="R7" s="44">
        <f>+Q7*O7</f>
        <v>297</v>
      </c>
      <c r="S7" s="47">
        <f>+Q7/(SUM(P7)/365)</f>
        <v>6.1093890892696114</v>
      </c>
      <c r="W7" s="48"/>
    </row>
    <row r="8" spans="2:23" ht="36" customHeight="1">
      <c r="B8" s="97"/>
      <c r="C8" s="97"/>
      <c r="D8" s="97"/>
      <c r="E8" s="43" t="s">
        <v>23</v>
      </c>
      <c r="F8" s="43" t="s">
        <v>24</v>
      </c>
      <c r="H8" s="95"/>
      <c r="I8" s="95"/>
      <c r="J8" s="99"/>
      <c r="L8" s="44">
        <v>4300</v>
      </c>
      <c r="M8" s="44">
        <f t="shared" si="0"/>
        <v>11.780821917808218</v>
      </c>
      <c r="O8" s="45">
        <v>0.6</v>
      </c>
      <c r="P8" s="46">
        <f t="shared" si="1"/>
        <v>7166.666666666667</v>
      </c>
      <c r="Q8" s="109">
        <f>75*20*3</f>
        <v>4500</v>
      </c>
      <c r="R8" s="109">
        <f>+SUMPRODUCT(O8:O10,P8:P10)/SUM(P8:P10)*Q8</f>
        <v>3603.7656903765687</v>
      </c>
      <c r="S8" s="108">
        <f>+Q8/(SUM(P8:P10)/365)</f>
        <v>137.44769874476987</v>
      </c>
      <c r="W8" s="48"/>
    </row>
    <row r="9" spans="2:23" ht="36" customHeight="1">
      <c r="B9" s="97"/>
      <c r="C9" s="97"/>
      <c r="D9" s="97"/>
      <c r="E9" s="43" t="s">
        <v>25</v>
      </c>
      <c r="F9" s="43" t="s">
        <v>24</v>
      </c>
      <c r="H9" s="95"/>
      <c r="I9" s="95"/>
      <c r="J9" s="99"/>
      <c r="L9" s="44">
        <v>470</v>
      </c>
      <c r="M9" s="44">
        <f t="shared" si="0"/>
        <v>1.2876712328767124</v>
      </c>
      <c r="O9" s="45">
        <v>0.6</v>
      </c>
      <c r="P9" s="46">
        <f t="shared" si="1"/>
        <v>783.33333333333337</v>
      </c>
      <c r="Q9" s="109"/>
      <c r="R9" s="109"/>
      <c r="S9" s="108"/>
      <c r="W9" s="48"/>
    </row>
    <row r="10" spans="2:23" ht="36" customHeight="1">
      <c r="B10" s="93"/>
      <c r="C10" s="93"/>
      <c r="D10" s="93"/>
      <c r="E10" s="43" t="s">
        <v>26</v>
      </c>
      <c r="F10" s="43" t="s">
        <v>27</v>
      </c>
      <c r="H10" s="96"/>
      <c r="I10" s="96"/>
      <c r="J10" s="100"/>
      <c r="L10" s="44">
        <v>4800</v>
      </c>
      <c r="M10" s="44">
        <f t="shared" si="0"/>
        <v>13.150684931506849</v>
      </c>
      <c r="O10" s="45">
        <v>1.2</v>
      </c>
      <c r="P10" s="46">
        <f t="shared" si="1"/>
        <v>4000</v>
      </c>
      <c r="Q10" s="109"/>
      <c r="R10" s="109"/>
      <c r="S10" s="108"/>
      <c r="W10" s="48"/>
    </row>
    <row r="11" spans="2:23" ht="36" customHeight="1">
      <c r="B11" s="92" t="s">
        <v>28</v>
      </c>
      <c r="C11" s="92" t="s">
        <v>29</v>
      </c>
      <c r="D11" s="92" t="s">
        <v>30</v>
      </c>
      <c r="E11" s="43" t="s">
        <v>31</v>
      </c>
      <c r="F11" s="43" t="s">
        <v>32</v>
      </c>
      <c r="H11" s="101">
        <f>+SUM(L11:L12)</f>
        <v>3672</v>
      </c>
      <c r="I11" s="101">
        <f>+H11/Days_UAB</f>
        <v>10.06027397260274</v>
      </c>
      <c r="J11" s="103">
        <f>+I11/24</f>
        <v>0.41917808219178082</v>
      </c>
      <c r="L11" s="44">
        <v>3037</v>
      </c>
      <c r="M11" s="44">
        <f t="shared" si="0"/>
        <v>8.3205479452054796</v>
      </c>
      <c r="O11" s="45">
        <v>0.9</v>
      </c>
      <c r="P11" s="46">
        <f t="shared" si="1"/>
        <v>3374.4444444444443</v>
      </c>
      <c r="Q11" s="109">
        <v>150</v>
      </c>
      <c r="R11" s="109">
        <f>SUMPRODUCT(O11:O12,P11:P12)/SUM(P11:P12)*Q11</f>
        <v>137.3756408479978</v>
      </c>
      <c r="S11" s="108">
        <f>+Q11/(SUM(P11:P12)/365)</f>
        <v>13.655258417625053</v>
      </c>
      <c r="W11" s="48"/>
    </row>
    <row r="12" spans="2:23" ht="36" customHeight="1">
      <c r="B12" s="93"/>
      <c r="C12" s="93"/>
      <c r="D12" s="93"/>
      <c r="E12" s="43" t="s">
        <v>33</v>
      </c>
      <c r="F12" s="43" t="s">
        <v>32</v>
      </c>
      <c r="H12" s="102"/>
      <c r="I12" s="102"/>
      <c r="J12" s="104"/>
      <c r="L12" s="44">
        <v>635</v>
      </c>
      <c r="M12" s="44">
        <f t="shared" si="0"/>
        <v>1.7397260273972603</v>
      </c>
      <c r="O12" s="45">
        <v>1</v>
      </c>
      <c r="P12" s="46">
        <f t="shared" si="1"/>
        <v>635</v>
      </c>
      <c r="Q12" s="109"/>
      <c r="R12" s="109"/>
      <c r="S12" s="108"/>
      <c r="T12" s="49"/>
      <c r="W12" s="48"/>
    </row>
    <row r="13" spans="2:23" ht="36" customHeight="1">
      <c r="B13" s="50" t="s">
        <v>34</v>
      </c>
      <c r="C13" s="50" t="s">
        <v>35</v>
      </c>
      <c r="D13" s="50" t="s">
        <v>36</v>
      </c>
      <c r="E13" s="43" t="s">
        <v>37</v>
      </c>
      <c r="F13" s="43" t="s">
        <v>20</v>
      </c>
      <c r="H13" s="51">
        <f>+L13</f>
        <v>34212</v>
      </c>
      <c r="I13" s="51">
        <f>+H13/Days_UAB</f>
        <v>93.731506849315068</v>
      </c>
      <c r="J13" s="52">
        <f>+I13/24</f>
        <v>3.9054794520547946</v>
      </c>
      <c r="L13" s="44">
        <v>34212</v>
      </c>
      <c r="M13" s="44">
        <f t="shared" si="0"/>
        <v>93.731506849315068</v>
      </c>
      <c r="O13" s="45">
        <v>1</v>
      </c>
      <c r="P13" s="46">
        <f t="shared" si="1"/>
        <v>34212</v>
      </c>
      <c r="Q13" s="105">
        <f>2 * 210</f>
        <v>420</v>
      </c>
      <c r="R13" s="105">
        <f>+SUMPRODUCT(O13:O15,P13:P15)/SUM(P13:P15)*Q13</f>
        <v>404.02942782627463</v>
      </c>
      <c r="S13" s="108">
        <f>+Q13/(SUM(P13:P15)/365)</f>
        <v>4.0746778613116224</v>
      </c>
      <c r="T13" s="49"/>
      <c r="W13" s="48"/>
    </row>
    <row r="14" spans="2:23" ht="36" customHeight="1">
      <c r="B14" s="92" t="s">
        <v>38</v>
      </c>
      <c r="C14" s="92" t="s">
        <v>39</v>
      </c>
      <c r="D14" s="92" t="s">
        <v>36</v>
      </c>
      <c r="E14" s="43" t="s">
        <v>40</v>
      </c>
      <c r="F14" s="43" t="s">
        <v>41</v>
      </c>
      <c r="H14" s="101">
        <f>+SUM(L14:L15)</f>
        <v>1980</v>
      </c>
      <c r="I14" s="101">
        <f>+H14/Days_UAB</f>
        <v>5.4246575342465757</v>
      </c>
      <c r="J14" s="103">
        <f>+I14/24</f>
        <v>0.22602739726027399</v>
      </c>
      <c r="L14" s="44">
        <v>1250</v>
      </c>
      <c r="M14" s="44">
        <f t="shared" si="0"/>
        <v>3.4246575342465753</v>
      </c>
      <c r="O14" s="45">
        <v>0.6</v>
      </c>
      <c r="P14" s="46">
        <f t="shared" si="1"/>
        <v>2083.3333333333335</v>
      </c>
      <c r="Q14" s="106"/>
      <c r="R14" s="106"/>
      <c r="S14" s="108"/>
      <c r="T14" s="49"/>
      <c r="W14" s="48"/>
    </row>
    <row r="15" spans="2:23" ht="36" customHeight="1">
      <c r="B15" s="93"/>
      <c r="C15" s="93"/>
      <c r="D15" s="93"/>
      <c r="E15" s="43" t="s">
        <v>42</v>
      </c>
      <c r="F15" s="43" t="s">
        <v>43</v>
      </c>
      <c r="H15" s="102"/>
      <c r="I15" s="102"/>
      <c r="J15" s="104"/>
      <c r="L15" s="44">
        <v>730</v>
      </c>
      <c r="M15" s="44">
        <f t="shared" si="0"/>
        <v>2</v>
      </c>
      <c r="O15" s="45">
        <v>0.55000000000000004</v>
      </c>
      <c r="P15" s="46">
        <f t="shared" si="1"/>
        <v>1327.2727272727273</v>
      </c>
      <c r="Q15" s="107"/>
      <c r="R15" s="107"/>
      <c r="S15" s="108"/>
      <c r="W15" s="48"/>
    </row>
    <row r="16" spans="2:23" ht="55.7" customHeight="1">
      <c r="B16" s="50" t="s">
        <v>44</v>
      </c>
      <c r="C16" s="50" t="s">
        <v>45</v>
      </c>
      <c r="D16" s="50" t="s">
        <v>36</v>
      </c>
      <c r="E16" s="91" t="s">
        <v>46</v>
      </c>
      <c r="F16" s="43" t="s">
        <v>41</v>
      </c>
      <c r="H16" s="51">
        <v>3500</v>
      </c>
      <c r="I16" s="51">
        <f>+H16/Days_UAB</f>
        <v>9.5890410958904102</v>
      </c>
      <c r="J16" s="52">
        <f>+I16/24</f>
        <v>0.39954337899543374</v>
      </c>
      <c r="L16" s="53"/>
      <c r="M16" s="44">
        <f t="shared" si="0"/>
        <v>0</v>
      </c>
      <c r="O16" s="45">
        <v>1.25</v>
      </c>
      <c r="P16" s="46">
        <f>+H16/O16</f>
        <v>2800</v>
      </c>
      <c r="Q16" s="54">
        <v>100</v>
      </c>
      <c r="R16" s="54">
        <f>+Q16*O16</f>
        <v>125</v>
      </c>
      <c r="S16" s="55" t="s">
        <v>47</v>
      </c>
      <c r="W16" s="48"/>
    </row>
    <row r="17" spans="2:27" ht="30" customHeight="1">
      <c r="B17" s="56" t="s">
        <v>48</v>
      </c>
      <c r="C17" s="57"/>
      <c r="D17" s="57"/>
      <c r="E17" s="57"/>
      <c r="F17" s="58"/>
      <c r="H17"/>
      <c r="I17"/>
      <c r="J17"/>
      <c r="L17" s="59">
        <f>+SUM(L5:L16)</f>
        <v>84064</v>
      </c>
      <c r="M17" s="59">
        <f>+SUM(M5:M16)</f>
        <v>230.31232876712332</v>
      </c>
      <c r="O17" s="60"/>
      <c r="P17" s="60"/>
      <c r="Q17" s="59">
        <f>SUM(Q5:Q16)</f>
        <v>6340</v>
      </c>
      <c r="R17" s="59">
        <f>SUM(R5:R16)</f>
        <v>4904.6707590508413</v>
      </c>
      <c r="S17" s="60"/>
      <c r="V17" s="61"/>
    </row>
    <row r="18" spans="2:27" ht="15" customHeight="1">
      <c r="E18"/>
      <c r="F18"/>
      <c r="H18"/>
      <c r="I18"/>
      <c r="J18"/>
      <c r="S18"/>
    </row>
    <row r="19" spans="2:27" ht="30" customHeight="1">
      <c r="B19" s="37" t="s">
        <v>49</v>
      </c>
      <c r="C19" s="37"/>
      <c r="D19" s="37" t="s">
        <v>50</v>
      </c>
      <c r="E19" s="37"/>
      <c r="F19" s="38" t="s">
        <v>47</v>
      </c>
      <c r="H19"/>
      <c r="I19"/>
      <c r="J19"/>
      <c r="L19" s="54">
        <f>+M19*365</f>
        <v>18250</v>
      </c>
      <c r="M19" s="54">
        <v>50</v>
      </c>
      <c r="S19"/>
    </row>
    <row r="20" spans="2:27" ht="30" customHeight="1">
      <c r="B20" s="37" t="s">
        <v>51</v>
      </c>
      <c r="C20" s="37"/>
      <c r="D20" s="37" t="s">
        <v>52</v>
      </c>
      <c r="E20" s="37"/>
      <c r="F20" s="38" t="s">
        <v>47</v>
      </c>
      <c r="H20"/>
      <c r="I20"/>
      <c r="J20"/>
      <c r="L20" s="54">
        <f>+M20*365</f>
        <v>52925</v>
      </c>
      <c r="M20" s="54">
        <v>145</v>
      </c>
      <c r="S20"/>
    </row>
    <row r="21" spans="2:27" ht="30" customHeight="1">
      <c r="B21" s="56" t="s">
        <v>48</v>
      </c>
      <c r="C21" s="57"/>
      <c r="D21" s="57"/>
      <c r="E21" s="57"/>
      <c r="F21" s="58"/>
      <c r="H21"/>
      <c r="I21"/>
      <c r="J21"/>
      <c r="L21" s="63">
        <f>L17+L19+L20</f>
        <v>155239</v>
      </c>
      <c r="M21" s="59">
        <f>M17+M19+M20</f>
        <v>425.31232876712329</v>
      </c>
      <c r="S21"/>
    </row>
    <row r="22" spans="2:27">
      <c r="E22"/>
      <c r="F22"/>
      <c r="G22"/>
      <c r="H22"/>
      <c r="I22"/>
      <c r="J22"/>
      <c r="K22"/>
      <c r="N22"/>
      <c r="S22"/>
    </row>
    <row r="23" spans="2:27" ht="30" customHeight="1" thickBot="1">
      <c r="B23" s="64" t="s">
        <v>53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</row>
    <row r="24" spans="2:27">
      <c r="E24"/>
      <c r="F24"/>
      <c r="G24"/>
      <c r="H24"/>
      <c r="I24"/>
      <c r="J24"/>
      <c r="K24"/>
      <c r="N24"/>
      <c r="S24"/>
    </row>
    <row r="25" spans="2:27" ht="43.5">
      <c r="B25" s="42" t="s">
        <v>1</v>
      </c>
      <c r="C25" s="42" t="s">
        <v>2</v>
      </c>
      <c r="D25" s="42" t="s">
        <v>3</v>
      </c>
      <c r="E25" s="42" t="s">
        <v>54</v>
      </c>
      <c r="F25" s="42" t="s">
        <v>5</v>
      </c>
      <c r="G25"/>
      <c r="H25"/>
      <c r="I25"/>
      <c r="J25"/>
      <c r="K25"/>
      <c r="L25" s="42" t="s">
        <v>9</v>
      </c>
      <c r="M25" s="42" t="s">
        <v>10</v>
      </c>
      <c r="N25"/>
      <c r="O25" s="42" t="s">
        <v>11</v>
      </c>
      <c r="P25" s="42" t="s">
        <v>55</v>
      </c>
      <c r="Q25" s="42" t="s">
        <v>13</v>
      </c>
      <c r="R25" s="42" t="s">
        <v>14</v>
      </c>
      <c r="S25" s="42" t="s">
        <v>56</v>
      </c>
    </row>
    <row r="26" spans="2:27" ht="57.75">
      <c r="B26" s="50" t="s">
        <v>57</v>
      </c>
      <c r="C26" s="50" t="s">
        <v>58</v>
      </c>
      <c r="D26" s="50" t="s">
        <v>59</v>
      </c>
      <c r="E26" s="50" t="s">
        <v>60</v>
      </c>
      <c r="F26" s="43" t="s">
        <v>47</v>
      </c>
      <c r="G26"/>
      <c r="H26"/>
      <c r="I26"/>
      <c r="J26"/>
      <c r="K26"/>
      <c r="L26" s="54">
        <f>L21-L27</f>
        <v>140000.226484496</v>
      </c>
      <c r="M26" s="54">
        <f>L26/365</f>
        <v>383.56226434108493</v>
      </c>
      <c r="N26"/>
      <c r="O26" s="66">
        <v>1</v>
      </c>
      <c r="P26" s="46">
        <f>+L26/O26</f>
        <v>140000.226484496</v>
      </c>
      <c r="Q26" s="54">
        <f>+VOLUME_DIGESTORES!F7</f>
        <v>19310.113404555021</v>
      </c>
      <c r="R26" s="54">
        <f>+Q26</f>
        <v>19310.113404555021</v>
      </c>
      <c r="S26" s="81">
        <f>365/(P26/Q26)</f>
        <v>50.344142789248401</v>
      </c>
    </row>
    <row r="27" spans="2:27" ht="57.75">
      <c r="B27" s="50" t="s">
        <v>57</v>
      </c>
      <c r="C27" s="50" t="s">
        <v>58</v>
      </c>
      <c r="D27" s="50" t="s">
        <v>59</v>
      </c>
      <c r="E27" s="50" t="s">
        <v>61</v>
      </c>
      <c r="F27" s="43" t="s">
        <v>47</v>
      </c>
      <c r="G27"/>
      <c r="H27"/>
      <c r="I27"/>
      <c r="J27"/>
      <c r="K27"/>
      <c r="L27" s="44">
        <v>15238.773515504006</v>
      </c>
      <c r="M27" s="54">
        <f>L27/365</f>
        <v>41.750064426038371</v>
      </c>
      <c r="N27"/>
      <c r="O27" s="67"/>
      <c r="P27" s="67"/>
      <c r="Q27" s="67"/>
      <c r="R27" s="67"/>
      <c r="S27" s="43"/>
    </row>
    <row r="28" spans="2:27" ht="30" customHeight="1">
      <c r="B28" s="56" t="s">
        <v>48</v>
      </c>
      <c r="C28" s="57"/>
      <c r="D28" s="57"/>
      <c r="E28" s="57"/>
      <c r="F28" s="58"/>
      <c r="G28"/>
      <c r="H28"/>
      <c r="I28"/>
      <c r="J28"/>
      <c r="K28"/>
      <c r="L28" s="59">
        <f>L26+L27</f>
        <v>155239</v>
      </c>
      <c r="M28" s="59">
        <f>M26+M27</f>
        <v>425.31232876712329</v>
      </c>
      <c r="N28"/>
      <c r="O28" s="58"/>
      <c r="P28" s="58"/>
      <c r="Q28" s="58"/>
      <c r="R28" s="58"/>
      <c r="S28" s="58"/>
      <c r="AA28" s="68"/>
    </row>
    <row r="29" spans="2:27">
      <c r="E29"/>
      <c r="F29"/>
      <c r="G29"/>
      <c r="H29"/>
      <c r="I29"/>
      <c r="J29"/>
      <c r="K29"/>
      <c r="N29"/>
      <c r="S29"/>
      <c r="AA29" s="68"/>
    </row>
    <row r="30" spans="2:27">
      <c r="E30"/>
      <c r="F30"/>
      <c r="G30"/>
      <c r="H30"/>
      <c r="I30"/>
      <c r="J30"/>
      <c r="K30"/>
      <c r="N30"/>
      <c r="S30"/>
    </row>
    <row r="31" spans="2:27" ht="30" customHeight="1" thickBot="1">
      <c r="B31" s="69" t="s">
        <v>62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</row>
    <row r="32" spans="2:27">
      <c r="E32"/>
      <c r="F32"/>
      <c r="G32"/>
      <c r="H32"/>
      <c r="I32"/>
      <c r="J32"/>
      <c r="K32"/>
      <c r="N32"/>
      <c r="S32"/>
    </row>
    <row r="33" spans="2:23" ht="43.5">
      <c r="B33" s="42" t="s">
        <v>1</v>
      </c>
      <c r="C33" s="42" t="s">
        <v>2</v>
      </c>
      <c r="D33" s="42" t="s">
        <v>3</v>
      </c>
      <c r="E33" s="42" t="s">
        <v>4</v>
      </c>
      <c r="F33" s="42" t="s">
        <v>5</v>
      </c>
      <c r="L33" s="42" t="s">
        <v>9</v>
      </c>
      <c r="M33" s="42" t="s">
        <v>10</v>
      </c>
      <c r="O33" s="42" t="s">
        <v>11</v>
      </c>
      <c r="P33" s="42" t="s">
        <v>55</v>
      </c>
      <c r="Q33" s="42" t="s">
        <v>13</v>
      </c>
      <c r="R33" s="42" t="s">
        <v>14</v>
      </c>
      <c r="S33" s="42" t="s">
        <v>15</v>
      </c>
    </row>
    <row r="34" spans="2:23" ht="30" customHeight="1">
      <c r="B34" s="50" t="s">
        <v>63</v>
      </c>
      <c r="C34" s="50"/>
      <c r="D34" s="50" t="s">
        <v>64</v>
      </c>
      <c r="E34" s="50" t="s">
        <v>47</v>
      </c>
      <c r="F34" s="43" t="s">
        <v>65</v>
      </c>
      <c r="L34" s="54">
        <f>+L26*0.2</f>
        <v>28000.045296899203</v>
      </c>
      <c r="M34" s="54">
        <f>L34/365</f>
        <v>76.712452868216999</v>
      </c>
      <c r="O34" s="62">
        <v>0.8</v>
      </c>
      <c r="P34" s="46">
        <f>+L34/O34</f>
        <v>35000.056621124</v>
      </c>
      <c r="Q34" s="54">
        <f>20*15*6</f>
        <v>1800</v>
      </c>
      <c r="R34" s="54">
        <f>Q34*O34</f>
        <v>1440</v>
      </c>
      <c r="S34" s="54">
        <f>365/(P34/Q34)</f>
        <v>18.771398204066706</v>
      </c>
    </row>
    <row r="35" spans="2:23" ht="30" customHeight="1">
      <c r="B35" s="50" t="s">
        <v>66</v>
      </c>
      <c r="C35" s="50"/>
      <c r="D35" s="50" t="s">
        <v>67</v>
      </c>
      <c r="E35" s="50" t="s">
        <v>47</v>
      </c>
      <c r="F35" s="43" t="s">
        <v>68</v>
      </c>
      <c r="L35" s="54">
        <f>+L26*0.8-L37</f>
        <v>59075.181187596812</v>
      </c>
      <c r="M35" s="54">
        <f>L35/365</f>
        <v>161.84981147286797</v>
      </c>
      <c r="O35" s="62">
        <v>1</v>
      </c>
      <c r="P35" s="46">
        <f>+L35/O35</f>
        <v>59075.181187596812</v>
      </c>
      <c r="Q35" s="54">
        <v>30000</v>
      </c>
      <c r="R35" s="54">
        <f>Q35*O35</f>
        <v>30000</v>
      </c>
      <c r="S35" s="54">
        <f>365/(P35/Q35)</f>
        <v>185.3570277715715</v>
      </c>
    </row>
    <row r="36" spans="2:23" ht="30" customHeight="1">
      <c r="B36" s="56" t="s">
        <v>48</v>
      </c>
      <c r="C36" s="56"/>
      <c r="D36" s="56"/>
      <c r="E36" s="56"/>
      <c r="F36" s="71"/>
      <c r="L36" s="59">
        <f>SUM(L34:L35)</f>
        <v>87075.226484496015</v>
      </c>
      <c r="M36" s="59">
        <f>SUM(M34:M35)</f>
        <v>238.56226434108498</v>
      </c>
      <c r="O36" s="71"/>
      <c r="P36" s="71"/>
      <c r="Q36" s="71"/>
      <c r="R36" s="71"/>
      <c r="S36" s="71"/>
    </row>
    <row r="37" spans="2:23" ht="30" customHeight="1">
      <c r="B37" s="50" t="s">
        <v>69</v>
      </c>
      <c r="C37" s="50"/>
      <c r="D37" s="50" t="s">
        <v>52</v>
      </c>
      <c r="E37" s="50"/>
      <c r="F37" s="43" t="s">
        <v>47</v>
      </c>
      <c r="L37" s="54">
        <f>M37*365</f>
        <v>52925</v>
      </c>
      <c r="M37" s="54">
        <f>+M20</f>
        <v>145</v>
      </c>
      <c r="O37" s="43"/>
      <c r="P37" s="43"/>
      <c r="Q37" s="43"/>
      <c r="R37" s="43"/>
      <c r="S37" s="43"/>
    </row>
    <row r="38" spans="2:23" ht="30" customHeight="1">
      <c r="B38" s="56" t="s">
        <v>48</v>
      </c>
      <c r="C38" s="57"/>
      <c r="D38" s="57"/>
      <c r="E38" s="57"/>
      <c r="F38" s="58"/>
      <c r="L38" s="59">
        <f>L36+L37</f>
        <v>140000.22648449603</v>
      </c>
      <c r="M38" s="59">
        <f>M34+M36+M37</f>
        <v>460.27471720930197</v>
      </c>
      <c r="O38" s="58"/>
      <c r="P38" s="58"/>
      <c r="Q38" s="58"/>
      <c r="R38" s="58"/>
      <c r="S38" s="58"/>
    </row>
    <row r="41" spans="2:23" s="87" customFormat="1" ht="24.75">
      <c r="B41" s="88" t="s">
        <v>1</v>
      </c>
      <c r="C41" s="89" t="s">
        <v>2</v>
      </c>
      <c r="D41" s="89" t="s">
        <v>3</v>
      </c>
      <c r="E41" s="89" t="s">
        <v>4</v>
      </c>
      <c r="F41" s="89" t="s">
        <v>5</v>
      </c>
      <c r="L41" s="90" t="s">
        <v>70</v>
      </c>
      <c r="M41" s="90" t="s">
        <v>71</v>
      </c>
    </row>
    <row r="42" spans="2:23" ht="30" customHeight="1">
      <c r="B42" s="50" t="s">
        <v>57</v>
      </c>
      <c r="C42" s="50" t="s">
        <v>58</v>
      </c>
      <c r="D42" s="50" t="s">
        <v>72</v>
      </c>
      <c r="E42" s="50" t="s">
        <v>73</v>
      </c>
      <c r="F42" s="43" t="s">
        <v>74</v>
      </c>
      <c r="L42" s="86">
        <f>+L38</f>
        <v>140000.22648449603</v>
      </c>
      <c r="M42" s="86">
        <f>L42/365</f>
        <v>383.56226434108504</v>
      </c>
      <c r="O42" s="39"/>
      <c r="P42" s="39"/>
      <c r="Q42" s="39"/>
      <c r="R42" s="39"/>
      <c r="T42" s="39"/>
      <c r="U42" s="39"/>
      <c r="V42" s="39"/>
      <c r="W42" s="39"/>
    </row>
    <row r="43" spans="2:23" ht="30" customHeight="1">
      <c r="B43" s="50" t="s">
        <v>75</v>
      </c>
      <c r="C43" s="50" t="s">
        <v>76</v>
      </c>
      <c r="D43" s="50" t="s">
        <v>77</v>
      </c>
      <c r="E43" s="50" t="s">
        <v>78</v>
      </c>
      <c r="F43" s="43" t="s">
        <v>74</v>
      </c>
      <c r="L43" s="85">
        <f>-L37</f>
        <v>-52925</v>
      </c>
      <c r="M43" s="85">
        <f t="shared" ref="M43:M45" si="2">L43/365</f>
        <v>-145</v>
      </c>
      <c r="O43" s="39"/>
      <c r="P43" s="39"/>
      <c r="Q43" s="39"/>
      <c r="R43" s="39"/>
      <c r="T43" s="39"/>
      <c r="U43" s="39"/>
      <c r="V43" s="39"/>
      <c r="W43" s="39"/>
    </row>
    <row r="44" spans="2:23" ht="30" customHeight="1">
      <c r="B44" s="50" t="s">
        <v>75</v>
      </c>
      <c r="C44" s="50" t="s">
        <v>79</v>
      </c>
      <c r="D44" s="50" t="s">
        <v>77</v>
      </c>
      <c r="E44" s="50" t="s">
        <v>80</v>
      </c>
      <c r="F44" s="43" t="s">
        <v>68</v>
      </c>
      <c r="L44" s="85">
        <f>-L35</f>
        <v>-59075.181187596812</v>
      </c>
      <c r="M44" s="85">
        <f t="shared" si="2"/>
        <v>-161.84981147286797</v>
      </c>
      <c r="O44" s="39"/>
      <c r="P44" s="39"/>
      <c r="Q44" s="39"/>
      <c r="R44" s="39"/>
      <c r="T44" s="39"/>
      <c r="U44" s="39"/>
      <c r="V44" s="39"/>
      <c r="W44" s="39"/>
    </row>
    <row r="45" spans="2:23" ht="30" customHeight="1">
      <c r="B45" s="50" t="s">
        <v>75</v>
      </c>
      <c r="C45" s="50" t="s">
        <v>81</v>
      </c>
      <c r="D45" s="50" t="s">
        <v>64</v>
      </c>
      <c r="E45" s="50" t="s">
        <v>82</v>
      </c>
      <c r="F45" s="43" t="s">
        <v>65</v>
      </c>
      <c r="L45" s="85">
        <f>-L34</f>
        <v>-28000.045296899203</v>
      </c>
      <c r="M45" s="85">
        <f t="shared" si="2"/>
        <v>-76.712452868216999</v>
      </c>
      <c r="O45" s="39"/>
      <c r="P45" s="39"/>
      <c r="Q45" s="39"/>
      <c r="R45" s="39"/>
      <c r="T45" s="39"/>
      <c r="U45" s="39"/>
      <c r="V45" s="39"/>
      <c r="W45" s="39"/>
    </row>
    <row r="46" spans="2:23" ht="24.75">
      <c r="B46" s="82" t="s">
        <v>83</v>
      </c>
      <c r="C46" s="83" t="s">
        <v>74</v>
      </c>
      <c r="D46" s="83" t="s">
        <v>74</v>
      </c>
      <c r="E46" s="83" t="s">
        <v>74</v>
      </c>
      <c r="F46" s="83" t="s">
        <v>74</v>
      </c>
      <c r="L46" s="84">
        <f>+SUM(L42:L45)</f>
        <v>0</v>
      </c>
      <c r="M46" s="84">
        <f>+SUM(M42:M45)</f>
        <v>0</v>
      </c>
      <c r="O46" s="39"/>
      <c r="P46" s="39"/>
      <c r="Q46" s="39"/>
      <c r="R46" s="39"/>
      <c r="T46" s="39"/>
      <c r="U46" s="39"/>
      <c r="V46" s="39"/>
      <c r="W46" s="39"/>
    </row>
    <row r="47" spans="2:23">
      <c r="O47" s="39"/>
      <c r="P47" s="39"/>
      <c r="Q47" s="39"/>
      <c r="R47" s="39"/>
      <c r="T47" s="39"/>
      <c r="U47" s="39"/>
      <c r="V47" s="39"/>
      <c r="W47" s="39"/>
    </row>
  </sheetData>
  <mergeCells count="30">
    <mergeCell ref="R13:R15"/>
    <mergeCell ref="S13:S15"/>
    <mergeCell ref="Q5:Q6"/>
    <mergeCell ref="Q8:Q10"/>
    <mergeCell ref="Q11:Q12"/>
    <mergeCell ref="Q13:Q15"/>
    <mergeCell ref="R5:R6"/>
    <mergeCell ref="S5:S6"/>
    <mergeCell ref="R8:R10"/>
    <mergeCell ref="S8:S10"/>
    <mergeCell ref="R11:R12"/>
    <mergeCell ref="S11:S12"/>
    <mergeCell ref="J5:J10"/>
    <mergeCell ref="H11:H12"/>
    <mergeCell ref="H14:H15"/>
    <mergeCell ref="I11:I12"/>
    <mergeCell ref="I14:I15"/>
    <mergeCell ref="J11:J12"/>
    <mergeCell ref="J14:J15"/>
    <mergeCell ref="B14:B15"/>
    <mergeCell ref="C14:C15"/>
    <mergeCell ref="D14:D15"/>
    <mergeCell ref="H5:H10"/>
    <mergeCell ref="I5:I10"/>
    <mergeCell ref="B5:B10"/>
    <mergeCell ref="C5:C10"/>
    <mergeCell ref="D5:D10"/>
    <mergeCell ref="D11:D12"/>
    <mergeCell ref="C11:C12"/>
    <mergeCell ref="B11:B12"/>
  </mergeCells>
  <pageMargins left="0.7" right="0.7" top="0.75" bottom="0.75" header="0.3" footer="0.3"/>
  <pageSetup paperSize="9" scale="46" fitToHeight="0" orientation="landscape" r:id="rId1"/>
  <ignoredErrors>
    <ignoredError sqref="F5:F7 F10:F16" twoDigitTextYear="1"/>
    <ignoredError sqref="H6:J10 H5 J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B29FB-B738-4B47-84A2-DD746DF9E4D0}">
  <sheetPr>
    <tabColor rgb="FF00B050"/>
  </sheetPr>
  <dimension ref="B1:G60"/>
  <sheetViews>
    <sheetView showGridLines="0" tabSelected="1" zoomScaleNormal="100" workbookViewId="0">
      <selection activeCell="G10" sqref="G10"/>
    </sheetView>
  </sheetViews>
  <sheetFormatPr defaultColWidth="49.85546875" defaultRowHeight="12"/>
  <cols>
    <col min="1" max="1" width="2.5703125" style="10" customWidth="1"/>
    <col min="2" max="2" width="50.85546875" style="20" customWidth="1"/>
    <col min="3" max="3" width="13.5703125" style="10" customWidth="1"/>
    <col min="4" max="4" width="11.42578125" style="10" customWidth="1"/>
    <col min="5" max="5" width="11.42578125" style="21" customWidth="1"/>
    <col min="6" max="6" width="12" style="21" bestFit="1" customWidth="1"/>
    <col min="7" max="7" width="103" style="10" customWidth="1"/>
    <col min="8" max="16384" width="49.85546875" style="10"/>
  </cols>
  <sheetData>
    <row r="1" spans="2:7" ht="30.6" customHeight="1"/>
    <row r="2" spans="2:7" ht="46.35" customHeight="1">
      <c r="B2" s="22" t="s">
        <v>84</v>
      </c>
      <c r="C2" s="23" t="s">
        <v>85</v>
      </c>
      <c r="D2" s="23" t="s">
        <v>86</v>
      </c>
      <c r="E2" s="23" t="s">
        <v>87</v>
      </c>
      <c r="F2" s="24" t="s">
        <v>88</v>
      </c>
      <c r="G2" s="23" t="s">
        <v>89</v>
      </c>
    </row>
    <row r="3" spans="2:7" ht="20.45" customHeight="1">
      <c r="B3" s="8" t="s">
        <v>90</v>
      </c>
      <c r="C3" s="16">
        <f>+D3/F3</f>
        <v>5.0456621004566218</v>
      </c>
      <c r="D3" s="25">
        <f>+SUM(Processo!M5:M10)</f>
        <v>121.09589041095892</v>
      </c>
      <c r="E3" s="25">
        <f>+D3*365</f>
        <v>44200.000000000007</v>
      </c>
      <c r="F3" s="26">
        <v>24</v>
      </c>
      <c r="G3" s="110" t="s">
        <v>91</v>
      </c>
    </row>
    <row r="4" spans="2:7" ht="20.45" customHeight="1">
      <c r="B4" s="8" t="s">
        <v>92</v>
      </c>
      <c r="C4" s="16">
        <f t="shared" ref="C4:C7" si="0">+D4/F4</f>
        <v>0.41917808219178082</v>
      </c>
      <c r="D4" s="25">
        <f>+SUM(Processo!M11:M12)</f>
        <v>10.06027397260274</v>
      </c>
      <c r="E4" s="25">
        <f t="shared" ref="E4:E7" si="1">+D4*365</f>
        <v>3672</v>
      </c>
      <c r="F4" s="26">
        <v>24</v>
      </c>
      <c r="G4" s="111"/>
    </row>
    <row r="5" spans="2:7" ht="20.45" customHeight="1">
      <c r="B5" s="8" t="s">
        <v>93</v>
      </c>
      <c r="C5" s="16">
        <f t="shared" si="0"/>
        <v>3.9054794520547946</v>
      </c>
      <c r="D5" s="25">
        <f>+SUM(Processo!M13)</f>
        <v>93.731506849315068</v>
      </c>
      <c r="E5" s="25">
        <f t="shared" si="1"/>
        <v>34212</v>
      </c>
      <c r="F5" s="26">
        <v>24</v>
      </c>
      <c r="G5" s="111"/>
    </row>
    <row r="6" spans="2:7" ht="20.45" customHeight="1">
      <c r="B6" s="8" t="s">
        <v>94</v>
      </c>
      <c r="C6" s="16">
        <f t="shared" si="0"/>
        <v>0.22602739726027399</v>
      </c>
      <c r="D6" s="25">
        <f>+SUM(Processo!M14:M15)</f>
        <v>5.4246575342465757</v>
      </c>
      <c r="E6" s="25">
        <f t="shared" si="1"/>
        <v>1980.0000000000002</v>
      </c>
      <c r="F6" s="26">
        <v>24</v>
      </c>
      <c r="G6" s="111"/>
    </row>
    <row r="7" spans="2:7" ht="20.45" customHeight="1">
      <c r="B7" s="8" t="s">
        <v>95</v>
      </c>
      <c r="C7" s="16">
        <f t="shared" si="0"/>
        <v>0</v>
      </c>
      <c r="D7" s="25">
        <v>0</v>
      </c>
      <c r="E7" s="25">
        <f t="shared" si="1"/>
        <v>0</v>
      </c>
      <c r="F7" s="26">
        <v>24</v>
      </c>
      <c r="G7" s="111"/>
    </row>
    <row r="8" spans="2:7" s="29" customFormat="1" ht="28.35" customHeight="1">
      <c r="B8" s="14" t="s">
        <v>96</v>
      </c>
      <c r="C8" s="27">
        <f>+SUM(C3:C7)</f>
        <v>9.5963470319634716</v>
      </c>
      <c r="D8" s="36">
        <f t="shared" ref="D8:E8" si="2">+SUM(D3:D7)</f>
        <v>230.31232876712326</v>
      </c>
      <c r="E8" s="36">
        <f t="shared" si="2"/>
        <v>84064</v>
      </c>
      <c r="F8" s="28"/>
      <c r="G8" s="112"/>
    </row>
    <row r="9" spans="2:7" ht="27" customHeight="1">
      <c r="F9" s="28"/>
    </row>
    <row r="10" spans="2:7" ht="46.35" customHeight="1">
      <c r="B10" s="22" t="s">
        <v>97</v>
      </c>
      <c r="C10" s="30" t="s">
        <v>98</v>
      </c>
      <c r="D10" s="30" t="s">
        <v>99</v>
      </c>
      <c r="E10" s="30" t="s">
        <v>87</v>
      </c>
      <c r="F10" s="31" t="s">
        <v>88</v>
      </c>
      <c r="G10" s="23" t="s">
        <v>89</v>
      </c>
    </row>
    <row r="11" spans="2:7" ht="20.45" customHeight="1">
      <c r="B11" s="32" t="s">
        <v>100</v>
      </c>
      <c r="C11" s="16">
        <f>+D11/24</f>
        <v>9.9400943475452053</v>
      </c>
      <c r="D11" s="25">
        <f>+Processo!M28-Processo!M20-Processo!M27</f>
        <v>238.56226434108493</v>
      </c>
      <c r="E11" s="25">
        <f>+D11*365</f>
        <v>87075.226484496001</v>
      </c>
      <c r="F11" s="5">
        <v>24</v>
      </c>
      <c r="G11" s="110" t="s">
        <v>101</v>
      </c>
    </row>
    <row r="12" spans="2:7" ht="20.45" customHeight="1">
      <c r="B12" s="32" t="s">
        <v>69</v>
      </c>
      <c r="C12" s="16">
        <f>+D12/24</f>
        <v>6.041666666666667</v>
      </c>
      <c r="D12" s="25">
        <f>+Processo!M20</f>
        <v>145</v>
      </c>
      <c r="E12" s="25">
        <f>+D12*365</f>
        <v>52925</v>
      </c>
      <c r="F12" s="5">
        <v>24</v>
      </c>
      <c r="G12" s="111"/>
    </row>
    <row r="13" spans="2:7" ht="20.45" customHeight="1">
      <c r="B13" s="4" t="s">
        <v>102</v>
      </c>
      <c r="C13" s="16">
        <f t="shared" ref="C13" si="3">+D13/24</f>
        <v>1.7395860177515987</v>
      </c>
      <c r="D13" s="25">
        <f>+Processo!M27</f>
        <v>41.750064426038371</v>
      </c>
      <c r="E13" s="25">
        <f t="shared" ref="E13" si="4">+D13*365</f>
        <v>15238.773515504005</v>
      </c>
      <c r="F13" s="5">
        <v>24</v>
      </c>
      <c r="G13" s="111"/>
    </row>
    <row r="14" spans="2:7" ht="28.35" customHeight="1">
      <c r="B14" s="11" t="s">
        <v>103</v>
      </c>
      <c r="C14" s="36">
        <f>VOLUME_DIGESTORES!F7/SUM(D11:D12)</f>
        <v>50.344142789248401</v>
      </c>
      <c r="D14" s="33"/>
      <c r="E14" s="34"/>
      <c r="F14" s="9"/>
      <c r="G14" s="112"/>
    </row>
    <row r="15" spans="2:7" ht="27" customHeight="1">
      <c r="B15" s="10"/>
      <c r="C15" s="33"/>
      <c r="D15" s="33"/>
      <c r="E15" s="34"/>
      <c r="F15" s="9"/>
      <c r="G15" s="35"/>
    </row>
    <row r="17" spans="2:7" ht="46.35" customHeight="1">
      <c r="B17" s="22" t="s">
        <v>104</v>
      </c>
      <c r="C17" s="23" t="s">
        <v>105</v>
      </c>
      <c r="D17" s="23" t="s">
        <v>106</v>
      </c>
      <c r="E17" s="24" t="s">
        <v>107</v>
      </c>
      <c r="F17" s="24" t="s">
        <v>108</v>
      </c>
      <c r="G17" s="23" t="s">
        <v>89</v>
      </c>
    </row>
    <row r="18" spans="2:7" ht="20.45" customHeight="1">
      <c r="B18" s="13" t="s">
        <v>109</v>
      </c>
      <c r="C18" s="12" t="s">
        <v>110</v>
      </c>
      <c r="D18" s="12"/>
      <c r="E18" s="18"/>
      <c r="F18" s="18"/>
      <c r="G18" s="13"/>
    </row>
    <row r="19" spans="2:7" ht="20.45" customHeight="1">
      <c r="B19" s="4" t="s">
        <v>111</v>
      </c>
      <c r="C19" s="6" t="s">
        <v>112</v>
      </c>
      <c r="D19" s="6" t="s">
        <v>113</v>
      </c>
      <c r="E19" s="19">
        <v>20</v>
      </c>
      <c r="F19" s="19">
        <v>0</v>
      </c>
      <c r="G19" s="17" t="s">
        <v>114</v>
      </c>
    </row>
    <row r="20" spans="2:7" ht="20.45" customHeight="1">
      <c r="B20" s="4" t="s">
        <v>115</v>
      </c>
      <c r="C20" s="6" t="s">
        <v>116</v>
      </c>
      <c r="D20" s="6" t="s">
        <v>113</v>
      </c>
      <c r="E20" s="19">
        <v>100</v>
      </c>
      <c r="F20" s="19">
        <v>2.5228310502283109</v>
      </c>
      <c r="G20" s="17" t="s">
        <v>117</v>
      </c>
    </row>
    <row r="21" spans="2:7" ht="20.45" customHeight="1">
      <c r="B21" s="4" t="s">
        <v>118</v>
      </c>
      <c r="C21" s="6" t="s">
        <v>119</v>
      </c>
      <c r="D21" s="6" t="s">
        <v>113</v>
      </c>
      <c r="E21" s="19">
        <v>100</v>
      </c>
      <c r="F21" s="19">
        <v>2.5228310502283109</v>
      </c>
      <c r="G21" s="17" t="s">
        <v>117</v>
      </c>
    </row>
    <row r="22" spans="2:7" ht="20.45" customHeight="1">
      <c r="B22" s="4" t="s">
        <v>115</v>
      </c>
      <c r="C22" s="6" t="s">
        <v>120</v>
      </c>
      <c r="D22" s="6" t="s">
        <v>113</v>
      </c>
      <c r="E22" s="19">
        <v>100</v>
      </c>
      <c r="F22" s="19">
        <v>2.5228310502283109</v>
      </c>
      <c r="G22" s="17" t="s">
        <v>117</v>
      </c>
    </row>
    <row r="23" spans="2:7" ht="20.45" customHeight="1">
      <c r="B23" s="4" t="s">
        <v>118</v>
      </c>
      <c r="C23" s="6" t="s">
        <v>121</v>
      </c>
      <c r="D23" s="6" t="s">
        <v>113</v>
      </c>
      <c r="E23" s="19">
        <v>100</v>
      </c>
      <c r="F23" s="19">
        <v>2.5228310502283109</v>
      </c>
      <c r="G23" s="17" t="s">
        <v>117</v>
      </c>
    </row>
    <row r="24" spans="2:7" ht="20.45" customHeight="1">
      <c r="B24" s="13" t="s">
        <v>122</v>
      </c>
      <c r="C24" s="12" t="s">
        <v>123</v>
      </c>
      <c r="D24" s="12"/>
      <c r="E24" s="18"/>
      <c r="F24" s="18"/>
      <c r="G24" s="13"/>
    </row>
    <row r="25" spans="2:7" ht="20.45" customHeight="1">
      <c r="B25" s="4" t="s">
        <v>124</v>
      </c>
      <c r="C25" s="6" t="s">
        <v>125</v>
      </c>
      <c r="D25" s="6" t="s">
        <v>113</v>
      </c>
      <c r="E25" s="19">
        <v>30</v>
      </c>
      <c r="F25" s="19">
        <v>15</v>
      </c>
      <c r="G25" s="17" t="s">
        <v>126</v>
      </c>
    </row>
    <row r="26" spans="2:7" ht="20.45" customHeight="1">
      <c r="B26" s="4" t="s">
        <v>127</v>
      </c>
      <c r="C26" s="2" t="s">
        <v>128</v>
      </c>
      <c r="D26" s="2" t="s">
        <v>113</v>
      </c>
      <c r="E26" s="3">
        <v>30</v>
      </c>
      <c r="F26" s="3">
        <v>15</v>
      </c>
      <c r="G26" s="4" t="s">
        <v>126</v>
      </c>
    </row>
    <row r="27" spans="2:7" ht="20.45" customHeight="1">
      <c r="B27" s="4" t="s">
        <v>129</v>
      </c>
      <c r="C27" s="2" t="s">
        <v>130</v>
      </c>
      <c r="D27" s="2" t="s">
        <v>131</v>
      </c>
      <c r="E27" s="3">
        <v>15</v>
      </c>
      <c r="F27" s="3">
        <v>15</v>
      </c>
      <c r="G27" s="4" t="s">
        <v>132</v>
      </c>
    </row>
    <row r="28" spans="2:7" ht="20.45" customHeight="1">
      <c r="B28" s="4" t="s">
        <v>133</v>
      </c>
      <c r="C28" s="2" t="s">
        <v>134</v>
      </c>
      <c r="D28" s="2" t="s">
        <v>131</v>
      </c>
      <c r="E28" s="3">
        <v>15</v>
      </c>
      <c r="F28" s="3">
        <v>15</v>
      </c>
      <c r="G28" s="4" t="s">
        <v>132</v>
      </c>
    </row>
    <row r="29" spans="2:7" ht="20.45" customHeight="1">
      <c r="B29" s="4" t="s">
        <v>135</v>
      </c>
      <c r="C29" s="2" t="s">
        <v>136</v>
      </c>
      <c r="D29" s="2" t="s">
        <v>131</v>
      </c>
      <c r="E29" s="3">
        <v>15</v>
      </c>
      <c r="F29" s="3">
        <v>15</v>
      </c>
      <c r="G29" s="4" t="s">
        <v>132</v>
      </c>
    </row>
    <row r="30" spans="2:7" ht="20.45" customHeight="1">
      <c r="B30" s="4" t="s">
        <v>124</v>
      </c>
      <c r="C30" s="2" t="s">
        <v>137</v>
      </c>
      <c r="D30" s="2" t="s">
        <v>113</v>
      </c>
      <c r="E30" s="3">
        <v>30</v>
      </c>
      <c r="F30" s="3">
        <v>15</v>
      </c>
      <c r="G30" s="4" t="s">
        <v>138</v>
      </c>
    </row>
    <row r="31" spans="2:7" ht="20.45" customHeight="1">
      <c r="B31" s="13" t="s">
        <v>139</v>
      </c>
      <c r="C31" s="12" t="s">
        <v>140</v>
      </c>
      <c r="D31" s="12"/>
      <c r="E31" s="18"/>
      <c r="F31" s="18"/>
      <c r="G31" s="13"/>
    </row>
    <row r="32" spans="2:7" ht="20.45" customHeight="1">
      <c r="B32" s="7" t="s">
        <v>141</v>
      </c>
      <c r="C32" s="5" t="s">
        <v>142</v>
      </c>
      <c r="D32" s="5" t="s">
        <v>113</v>
      </c>
      <c r="E32" s="15">
        <v>150</v>
      </c>
      <c r="F32" s="15">
        <v>1.9527397260273973</v>
      </c>
      <c r="G32" s="7" t="s">
        <v>143</v>
      </c>
    </row>
    <row r="33" spans="2:7" ht="20.45" customHeight="1">
      <c r="B33" s="7" t="s">
        <v>141</v>
      </c>
      <c r="C33" s="5" t="s">
        <v>144</v>
      </c>
      <c r="D33" s="5" t="s">
        <v>113</v>
      </c>
      <c r="E33" s="15">
        <v>150</v>
      </c>
      <c r="F33" s="15">
        <v>1.9527397260273973</v>
      </c>
      <c r="G33" s="7" t="s">
        <v>143</v>
      </c>
    </row>
    <row r="34" spans="2:7" ht="20.45" customHeight="1">
      <c r="B34" s="13" t="s">
        <v>145</v>
      </c>
      <c r="C34" s="12" t="s">
        <v>146</v>
      </c>
      <c r="D34" s="12"/>
      <c r="E34" s="18"/>
      <c r="F34" s="18"/>
      <c r="G34" s="13"/>
    </row>
    <row r="35" spans="2:7" ht="20.45" customHeight="1">
      <c r="B35" s="7" t="s">
        <v>147</v>
      </c>
      <c r="C35" s="5" t="s">
        <v>45</v>
      </c>
      <c r="D35" s="5" t="s">
        <v>131</v>
      </c>
      <c r="E35" s="15">
        <v>100</v>
      </c>
      <c r="F35" s="15">
        <v>0</v>
      </c>
      <c r="G35" s="7" t="s">
        <v>148</v>
      </c>
    </row>
    <row r="36" spans="2:7" ht="20.45" customHeight="1">
      <c r="B36" s="17" t="s">
        <v>124</v>
      </c>
      <c r="C36" s="5" t="s">
        <v>149</v>
      </c>
      <c r="D36" s="5" t="s">
        <v>113</v>
      </c>
      <c r="E36" s="15">
        <v>19</v>
      </c>
      <c r="F36" s="15">
        <v>0</v>
      </c>
      <c r="G36" s="7" t="s">
        <v>148</v>
      </c>
    </row>
    <row r="37" spans="2:7" ht="20.45" customHeight="1">
      <c r="B37" s="13" t="s">
        <v>150</v>
      </c>
      <c r="C37" s="12" t="s">
        <v>151</v>
      </c>
      <c r="D37" s="12"/>
      <c r="E37" s="18"/>
      <c r="F37" s="18"/>
      <c r="G37" s="13"/>
    </row>
    <row r="38" spans="2:7" ht="20.45" customHeight="1">
      <c r="B38" s="4" t="s">
        <v>152</v>
      </c>
      <c r="C38" s="2" t="s">
        <v>153</v>
      </c>
      <c r="D38" s="2" t="s">
        <v>131</v>
      </c>
      <c r="E38" s="3">
        <v>4495</v>
      </c>
      <c r="F38" s="3">
        <v>4495</v>
      </c>
      <c r="G38" s="4" t="s">
        <v>154</v>
      </c>
    </row>
    <row r="39" spans="2:7" ht="20.45" customHeight="1">
      <c r="B39" s="13" t="s">
        <v>150</v>
      </c>
      <c r="C39" s="12" t="s">
        <v>155</v>
      </c>
      <c r="D39" s="12"/>
      <c r="E39" s="18"/>
      <c r="F39" s="18"/>
      <c r="G39" s="13"/>
    </row>
    <row r="40" spans="2:7" ht="20.45" customHeight="1">
      <c r="B40" s="4" t="s">
        <v>152</v>
      </c>
      <c r="C40" s="2" t="s">
        <v>156</v>
      </c>
      <c r="D40" s="2" t="s">
        <v>131</v>
      </c>
      <c r="E40" s="3">
        <v>4495</v>
      </c>
      <c r="F40" s="3">
        <v>4495</v>
      </c>
      <c r="G40" s="4" t="s">
        <v>154</v>
      </c>
    </row>
    <row r="41" spans="2:7" ht="20.45" customHeight="1">
      <c r="B41" s="13" t="s">
        <v>157</v>
      </c>
      <c r="C41" s="12" t="s">
        <v>158</v>
      </c>
      <c r="D41" s="12"/>
      <c r="E41" s="18"/>
      <c r="F41" s="18"/>
      <c r="G41" s="13"/>
    </row>
    <row r="42" spans="2:7" ht="20.45" customHeight="1">
      <c r="B42" s="4" t="s">
        <v>152</v>
      </c>
      <c r="C42" s="2" t="s">
        <v>159</v>
      </c>
      <c r="D42" s="2" t="s">
        <v>131</v>
      </c>
      <c r="E42" s="3">
        <v>5160</v>
      </c>
      <c r="F42" s="3">
        <v>5160</v>
      </c>
      <c r="G42" s="4" t="s">
        <v>154</v>
      </c>
    </row>
    <row r="43" spans="2:7" ht="20.45" customHeight="1">
      <c r="B43" s="13" t="s">
        <v>157</v>
      </c>
      <c r="C43" s="12" t="s">
        <v>160</v>
      </c>
      <c r="D43" s="12"/>
      <c r="E43" s="18"/>
      <c r="F43" s="18"/>
      <c r="G43" s="13"/>
    </row>
    <row r="44" spans="2:7" ht="20.45" customHeight="1">
      <c r="B44" s="4" t="s">
        <v>152</v>
      </c>
      <c r="C44" s="2" t="s">
        <v>161</v>
      </c>
      <c r="D44" s="2" t="s">
        <v>131</v>
      </c>
      <c r="E44" s="3">
        <v>5160</v>
      </c>
      <c r="F44" s="3">
        <v>5160</v>
      </c>
      <c r="G44" s="4" t="s">
        <v>154</v>
      </c>
    </row>
    <row r="45" spans="2:7" ht="20.45" customHeight="1">
      <c r="B45" s="13" t="s">
        <v>162</v>
      </c>
      <c r="C45" s="12" t="s">
        <v>163</v>
      </c>
      <c r="D45" s="12"/>
      <c r="E45" s="18"/>
      <c r="F45" s="18"/>
      <c r="G45" s="13"/>
    </row>
    <row r="46" spans="2:7" ht="20.45" customHeight="1">
      <c r="B46" s="4" t="s">
        <v>164</v>
      </c>
      <c r="C46" s="2" t="s">
        <v>165</v>
      </c>
      <c r="D46" s="2" t="s">
        <v>113</v>
      </c>
      <c r="E46" s="3">
        <v>150</v>
      </c>
      <c r="F46" s="3">
        <v>8.8606735159817358</v>
      </c>
      <c r="G46" s="4" t="s">
        <v>166</v>
      </c>
    </row>
    <row r="47" spans="2:7" ht="20.45" customHeight="1">
      <c r="B47" s="4" t="s">
        <v>164</v>
      </c>
      <c r="C47" s="2" t="s">
        <v>167</v>
      </c>
      <c r="D47" s="2" t="s">
        <v>113</v>
      </c>
      <c r="E47" s="3">
        <v>150</v>
      </c>
      <c r="F47" s="3">
        <v>8.8606735159817358</v>
      </c>
      <c r="G47" s="4" t="s">
        <v>166</v>
      </c>
    </row>
    <row r="48" spans="2:7" ht="20.45" customHeight="1">
      <c r="B48" s="4" t="s">
        <v>168</v>
      </c>
      <c r="C48" s="2" t="s">
        <v>169</v>
      </c>
      <c r="D48" s="2" t="s">
        <v>113</v>
      </c>
      <c r="E48" s="3">
        <v>30</v>
      </c>
      <c r="F48" s="3">
        <v>3.0208333333333335</v>
      </c>
      <c r="G48" s="4" t="s">
        <v>170</v>
      </c>
    </row>
    <row r="49" spans="2:7" ht="20.45" customHeight="1">
      <c r="B49" s="4" t="s">
        <v>168</v>
      </c>
      <c r="C49" s="2" t="s">
        <v>171</v>
      </c>
      <c r="D49" s="2" t="s">
        <v>113</v>
      </c>
      <c r="E49" s="3">
        <v>30</v>
      </c>
      <c r="F49" s="3">
        <v>3.0208333333333335</v>
      </c>
      <c r="G49" s="4" t="s">
        <v>170</v>
      </c>
    </row>
    <row r="50" spans="2:7" ht="20.45" customHeight="1">
      <c r="B50" s="13" t="s">
        <v>172</v>
      </c>
      <c r="C50" s="12" t="s">
        <v>173</v>
      </c>
      <c r="D50" s="12"/>
      <c r="E50" s="18"/>
      <c r="F50" s="18"/>
      <c r="G50" s="13"/>
    </row>
    <row r="51" spans="2:7" ht="20.45" customHeight="1">
      <c r="B51" s="4" t="s">
        <v>174</v>
      </c>
      <c r="C51" s="2" t="s">
        <v>175</v>
      </c>
      <c r="D51" s="2" t="s">
        <v>176</v>
      </c>
      <c r="E51" s="3">
        <v>800</v>
      </c>
      <c r="F51" s="3">
        <v>800</v>
      </c>
      <c r="G51" s="4" t="s">
        <v>177</v>
      </c>
    </row>
    <row r="52" spans="2:7" ht="20.45" customHeight="1">
      <c r="B52" s="13" t="s">
        <v>178</v>
      </c>
      <c r="C52" s="12" t="s">
        <v>179</v>
      </c>
      <c r="D52" s="12"/>
      <c r="E52" s="18"/>
      <c r="F52" s="18"/>
      <c r="G52" s="13"/>
    </row>
    <row r="53" spans="2:7" ht="20.45" customHeight="1">
      <c r="B53" s="4" t="s">
        <v>180</v>
      </c>
      <c r="C53" s="2" t="s">
        <v>181</v>
      </c>
      <c r="D53" s="2" t="s">
        <v>113</v>
      </c>
      <c r="E53" s="3">
        <v>30</v>
      </c>
      <c r="F53" s="3">
        <v>6.041666666666667</v>
      </c>
      <c r="G53" s="4" t="s">
        <v>182</v>
      </c>
    </row>
    <row r="54" spans="2:7" ht="20.45" customHeight="1">
      <c r="B54" s="4" t="s">
        <v>118</v>
      </c>
      <c r="C54" s="2" t="s">
        <v>183</v>
      </c>
      <c r="D54" s="2" t="s">
        <v>113</v>
      </c>
      <c r="E54" s="3">
        <v>30</v>
      </c>
      <c r="F54" s="3">
        <v>6.041666666666667</v>
      </c>
      <c r="G54" s="4" t="s">
        <v>182</v>
      </c>
    </row>
    <row r="55" spans="2:7" ht="20.45" customHeight="1">
      <c r="B55" s="4" t="s">
        <v>184</v>
      </c>
      <c r="C55" s="2" t="s">
        <v>81</v>
      </c>
      <c r="D55" s="2" t="s">
        <v>131</v>
      </c>
      <c r="E55" s="3">
        <v>1800</v>
      </c>
      <c r="F55" s="3">
        <v>1800</v>
      </c>
      <c r="G55" s="4" t="s">
        <v>185</v>
      </c>
    </row>
    <row r="56" spans="2:7" ht="20.45" customHeight="1">
      <c r="B56" s="4" t="s">
        <v>186</v>
      </c>
      <c r="C56" s="2" t="s">
        <v>79</v>
      </c>
      <c r="D56" s="2" t="s">
        <v>131</v>
      </c>
      <c r="E56" s="3">
        <v>30000</v>
      </c>
      <c r="F56" s="3">
        <v>30000</v>
      </c>
      <c r="G56" s="4" t="s">
        <v>187</v>
      </c>
    </row>
    <row r="57" spans="2:7" ht="20.45" customHeight="1">
      <c r="B57" s="13" t="s">
        <v>188</v>
      </c>
      <c r="C57" s="12" t="s">
        <v>189</v>
      </c>
      <c r="D57" s="12"/>
      <c r="E57" s="18"/>
      <c r="F57" s="18"/>
      <c r="G57" s="13"/>
    </row>
    <row r="58" spans="2:7" ht="20.45" customHeight="1">
      <c r="B58" s="4" t="s">
        <v>190</v>
      </c>
      <c r="C58" s="2" t="s">
        <v>191</v>
      </c>
      <c r="D58" s="2" t="s">
        <v>192</v>
      </c>
      <c r="E58" s="3">
        <v>1300</v>
      </c>
      <c r="F58" s="3">
        <v>1290.3661176470594</v>
      </c>
      <c r="G58" s="4" t="s">
        <v>193</v>
      </c>
    </row>
    <row r="59" spans="2:7" ht="20.45" customHeight="1">
      <c r="B59" s="13" t="s">
        <v>194</v>
      </c>
      <c r="C59" s="12" t="s">
        <v>195</v>
      </c>
      <c r="D59" s="12"/>
      <c r="E59" s="18"/>
      <c r="F59" s="18"/>
      <c r="G59" s="13"/>
    </row>
    <row r="60" spans="2:7" ht="20.45" customHeight="1">
      <c r="B60" s="4" t="s">
        <v>196</v>
      </c>
      <c r="C60" s="2" t="s">
        <v>197</v>
      </c>
      <c r="D60" s="2" t="s">
        <v>192</v>
      </c>
      <c r="E60" s="3">
        <v>1500</v>
      </c>
      <c r="F60" s="3">
        <v>1252.0675799086764</v>
      </c>
      <c r="G60" s="4" t="s">
        <v>198</v>
      </c>
    </row>
  </sheetData>
  <mergeCells count="2">
    <mergeCell ref="G3:G8"/>
    <mergeCell ref="G11:G14"/>
  </mergeCells>
  <pageMargins left="0.7" right="0.7" top="0.75" bottom="0.75" header="0.3" footer="0.3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836C-D4F8-4FDF-8EFE-7098F3A30D60}">
  <sheetPr>
    <tabColor rgb="FF00B050"/>
  </sheetPr>
  <dimension ref="B2:F11"/>
  <sheetViews>
    <sheetView showGridLines="0" zoomScaleNormal="100" workbookViewId="0">
      <selection activeCell="F7" sqref="F7"/>
    </sheetView>
  </sheetViews>
  <sheetFormatPr defaultColWidth="8.5703125" defaultRowHeight="15" customHeight="1"/>
  <cols>
    <col min="1" max="1" width="3" style="1" customWidth="1"/>
    <col min="2" max="2" width="20.5703125" style="78" customWidth="1"/>
    <col min="3" max="6" width="15.5703125" style="78" customWidth="1"/>
    <col min="7" max="7" width="15.5703125" style="1" customWidth="1"/>
    <col min="8" max="8" width="9.5703125" style="1" bestFit="1" customWidth="1"/>
    <col min="9" max="16384" width="8.5703125" style="1"/>
  </cols>
  <sheetData>
    <row r="2" spans="2:6" ht="26.1">
      <c r="B2" s="72" t="s">
        <v>199</v>
      </c>
      <c r="C2" s="72" t="s">
        <v>200</v>
      </c>
      <c r="D2" s="72" t="s">
        <v>201</v>
      </c>
      <c r="E2" s="73" t="s">
        <v>202</v>
      </c>
      <c r="F2" s="74" t="s">
        <v>203</v>
      </c>
    </row>
    <row r="3" spans="2:6" ht="15" customHeight="1">
      <c r="B3" s="79" t="s">
        <v>204</v>
      </c>
      <c r="C3" s="75">
        <v>28</v>
      </c>
      <c r="D3" s="75">
        <f>PI()*((C3/2)^2)</f>
        <v>615.75216010359941</v>
      </c>
      <c r="E3" s="76">
        <v>7.3</v>
      </c>
      <c r="F3" s="77">
        <f>D3*E3</f>
        <v>4494.9907687562754</v>
      </c>
    </row>
    <row r="4" spans="2:6" ht="15" customHeight="1">
      <c r="B4" s="79" t="s">
        <v>205</v>
      </c>
      <c r="C4" s="75">
        <v>28</v>
      </c>
      <c r="D4" s="75">
        <f t="shared" ref="D4:D6" si="0">PI()*((C4/2)^2)</f>
        <v>615.75216010359941</v>
      </c>
      <c r="E4" s="76">
        <v>7.3</v>
      </c>
      <c r="F4" s="77">
        <f t="shared" ref="F4:F6" si="1">D4*E4</f>
        <v>4494.9907687562754</v>
      </c>
    </row>
    <row r="5" spans="2:6" ht="15" customHeight="1">
      <c r="B5" s="79" t="s">
        <v>206</v>
      </c>
      <c r="C5" s="75">
        <v>30</v>
      </c>
      <c r="D5" s="75">
        <f t="shared" si="0"/>
        <v>706.85834705770344</v>
      </c>
      <c r="E5" s="76">
        <v>7.3</v>
      </c>
      <c r="F5" s="77">
        <f t="shared" si="1"/>
        <v>5160.0659335212349</v>
      </c>
    </row>
    <row r="6" spans="2:6" ht="15" customHeight="1">
      <c r="B6" s="79" t="s">
        <v>207</v>
      </c>
      <c r="C6" s="75">
        <v>30</v>
      </c>
      <c r="D6" s="75">
        <f t="shared" si="0"/>
        <v>706.85834705770344</v>
      </c>
      <c r="E6" s="76">
        <v>7.3</v>
      </c>
      <c r="F6" s="77">
        <f t="shared" si="1"/>
        <v>5160.0659335212349</v>
      </c>
    </row>
    <row r="7" spans="2:6" ht="15" customHeight="1">
      <c r="F7" s="80">
        <f>+SUM(F3:F6)</f>
        <v>19310.113404555021</v>
      </c>
    </row>
    <row r="8" spans="2:6" ht="12.95"/>
    <row r="11" spans="2:6" ht="15" customHeight="1">
      <c r="B11" s="72" t="s">
        <v>208</v>
      </c>
      <c r="C11" s="72">
        <v>365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35C17E2C0E14492E0E3A669F3D34C" ma:contentTypeVersion="15" ma:contentTypeDescription="Create a new document." ma:contentTypeScope="" ma:versionID="8b56d87f843f1d0e45e741d22776ce52">
  <xsd:schema xmlns:xsd="http://www.w3.org/2001/XMLSchema" xmlns:xs="http://www.w3.org/2001/XMLSchema" xmlns:p="http://schemas.microsoft.com/office/2006/metadata/properties" xmlns:ns2="faa5744b-75ad-4c5c-a0f3-a96cd827dcc0" xmlns:ns3="e70e8f31-5475-48e5-bb3a-2e7570743f92" targetNamespace="http://schemas.microsoft.com/office/2006/metadata/properties" ma:root="true" ma:fieldsID="17762f4d2159b9000648f237208ee5a7" ns2:_="" ns3:_="">
    <xsd:import namespace="faa5744b-75ad-4c5c-a0f3-a96cd827dcc0"/>
    <xsd:import namespace="e70e8f31-5475-48e5-bb3a-2e7570743f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5744b-75ad-4c5c-a0f3-a96cd827dc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176bbfc-cf17-4a7c-b30d-1b58b523f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e8f31-5475-48e5-bb3a-2e7570743f9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a9752e0-823b-4e36-b58e-90bcf8dd58bf}" ma:internalName="TaxCatchAll" ma:showField="CatchAllData" ma:web="e70e8f31-5475-48e5-bb3a-2e7570743f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a5744b-75ad-4c5c-a0f3-a96cd827dcc0">
      <Terms xmlns="http://schemas.microsoft.com/office/infopath/2007/PartnerControls"/>
    </lcf76f155ced4ddcb4097134ff3c332f>
    <TaxCatchAll xmlns="e70e8f31-5475-48e5-bb3a-2e7570743f92" xsi:nil="true"/>
  </documentManagement>
</p:properties>
</file>

<file path=customXml/itemProps1.xml><?xml version="1.0" encoding="utf-8"?>
<ds:datastoreItem xmlns:ds="http://schemas.openxmlformats.org/officeDocument/2006/customXml" ds:itemID="{87BBD867-C810-4BA7-A454-9C96E2C08C22}"/>
</file>

<file path=customXml/itemProps2.xml><?xml version="1.0" encoding="utf-8"?>
<ds:datastoreItem xmlns:ds="http://schemas.openxmlformats.org/officeDocument/2006/customXml" ds:itemID="{4DEAC353-C36A-4828-AED7-139EDB755BF9}"/>
</file>

<file path=customXml/itemProps3.xml><?xml version="1.0" encoding="utf-8"?>
<ds:datastoreItem xmlns:ds="http://schemas.openxmlformats.org/officeDocument/2006/customXml" ds:itemID="{97AF81C9-F499-4E1E-BECF-0F4642A4AD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Bernardo Dos Santos</dc:creator>
  <cp:keywords/>
  <dc:description/>
  <cp:lastModifiedBy>Bernardo Dos Santos</cp:lastModifiedBy>
  <cp:revision/>
  <dcterms:created xsi:type="dcterms:W3CDTF">2025-05-27T11:05:14Z</dcterms:created>
  <dcterms:modified xsi:type="dcterms:W3CDTF">2026-05-13T20:07:54Z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0x010100A6F35C17E2C0E14492E0E3A669F3D34C</vt:lpwstr>
  </property>
  <property fmtid="{D5CDD505-2E9C-101B-9397-08002B2CF9AE}" pid="3" name="MediaServiceImageTags">
    <vt:lpwstr/>
  </property>
</Properties>
</file>