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tiff" ContentType="image/tiff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16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codeName="EsteLivro"/>
  <mc:AlternateContent xmlns:mc="http://schemas.openxmlformats.org/markup-compatibility/2006">
    <mc:Choice Requires="x15">
      <x15ac:absPath xmlns:x15ac="http://schemas.microsoft.com/office/spreadsheetml/2010/11/ac" url="Y:\10 REN\11 Iniciativas\R.E.13 Análise da Avaliação do Ciclo de Vida\R.E.13.2 Estimativa de emissões para projetos REN\Projetos REN 2025\Linha Abrantes - Zona de Anadia\"/>
    </mc:Choice>
  </mc:AlternateContent>
  <xr:revisionPtr revIDLastSave="0" documentId="13_ncr:1_{2460A581-BB27-4496-B715-5AAFB79B8A7E}" xr6:coauthVersionLast="47" xr6:coauthVersionMax="47" xr10:uidLastSave="{00000000-0000-0000-0000-000000000000}"/>
  <bookViews>
    <workbookView xWindow="-120" yWindow="-120" windowWidth="29040" windowHeight="15720" tabRatio="855" xr2:uid="{00000000-000D-0000-FFFF-FFFF00000000}"/>
  </bookViews>
  <sheets>
    <sheet name="Capa" sheetId="27" r:id="rId1"/>
    <sheet name="INÍCIO" sheetId="1" r:id="rId2"/>
    <sheet name="Instruções " sheetId="17" r:id="rId3"/>
    <sheet name="Inserção de dados_Linhas" sheetId="3" r:id="rId4"/>
    <sheet name="Ferramenta de cálculo_Linhas" sheetId="4" r:id="rId5"/>
    <sheet name="Resultados_linhas" sheetId="5" r:id="rId6"/>
    <sheet name="Formulário_linhas" sheetId="15" r:id="rId7"/>
    <sheet name="FE-Emissões Evitadas" sheetId="6" r:id="rId8"/>
    <sheet name="FE-Faixa de Servidão" sheetId="8" r:id="rId9"/>
    <sheet name="FE-FxServ-Exploração" sheetId="9" r:id="rId10"/>
    <sheet name="FE-FxServ-EmissõesExploração" sheetId="10" r:id="rId11"/>
    <sheet name="FE-FxServ-Estabelecimento" sheetId="11" r:id="rId12"/>
    <sheet name="FE-FxServ-EmissõesEstableciment" sheetId="12" r:id="rId13"/>
    <sheet name="FE-DAP" sheetId="13" r:id="rId14"/>
    <sheet name="6. DAPs" sheetId="19" r:id="rId15"/>
    <sheet name="FE-Manutenção" sheetId="14" r:id="rId16"/>
  </sheets>
  <definedNames>
    <definedName name="_xlnm._FilterDatabase" localSheetId="14" hidden="1">'6. DAPs'!$C$6:$L$19</definedName>
    <definedName name="A" localSheetId="2">'Instruções '!$A67</definedName>
    <definedName name="AberturaFaixa" localSheetId="8">'FE-Faixa de Servidão'!$A$2</definedName>
    <definedName name="ACSRcabo" localSheetId="13">'FE-DAP'!$A$46</definedName>
    <definedName name="ACSRiproeb" localSheetId="13">'FE-DAP'!$A$95</definedName>
    <definedName name="ANO">#REF!</definedName>
    <definedName name="_xlnm.Print_Area" localSheetId="14">'6. DAPs'!$B$1:$R$19</definedName>
    <definedName name="B" localSheetId="2">'Instruções '!$A$90</definedName>
    <definedName name="BalFlor" localSheetId="3">'Inserção de dados_Linhas'!$A$29</definedName>
    <definedName name="Começar" localSheetId="3">'Inserção de dados_Linhas'!$A$1</definedName>
    <definedName name="D" localSheetId="2">'Instruções '!$A$140</definedName>
    <definedName name="DIA">#REF!</definedName>
    <definedName name="EmissEvit" localSheetId="7">'FE-Emissões Evitadas'!$A$2</definedName>
    <definedName name="Esquema" localSheetId="2">'Instruções '!#REF!</definedName>
    <definedName name="ExpC" localSheetId="2">'Instruções '!$A$116</definedName>
    <definedName name="FEFxServExpl">'FE-FxServ-EmissõesExploração'!$A$1</definedName>
    <definedName name="Ferramenta" localSheetId="4">'Ferramenta de cálculo_Linhas'!$A$1</definedName>
    <definedName name="Formulário" localSheetId="6">Formulário_linhas!$A$2</definedName>
    <definedName name="FxServEmiEst">'FE-FxServ-EmissõesEstableciment'!$A$3</definedName>
    <definedName name="Início" localSheetId="1">INÍCIO!$A$1</definedName>
    <definedName name="Instruções" localSheetId="2">'Instruções '!$A$1</definedName>
    <definedName name="Isoladores" localSheetId="13">'FE-DAP'!$A$120</definedName>
    <definedName name="Manutenção" localSheetId="15">'FE-Manutenção'!$A$3</definedName>
    <definedName name="MESES">#REF!</definedName>
    <definedName name="Metalogalva" localSheetId="13">'FE-DAP'!$A$22</definedName>
    <definedName name="OPGW" localSheetId="13">'FE-DAP'!$A$71</definedName>
    <definedName name="Resultados" localSheetId="5">Resultados_linhas!$A$1</definedName>
    <definedName name="Teste_Tensao">#REF!</definedName>
    <definedName name="Topo" localSheetId="3">'Inserção de dados_Linhas'!$A$3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5" i="3" l="1"/>
  <c r="C58" i="5" l="1"/>
  <c r="C53" i="5"/>
  <c r="C43" i="5"/>
  <c r="C34" i="5"/>
  <c r="C32" i="5"/>
  <c r="C23" i="5"/>
  <c r="C20" i="5"/>
  <c r="C18" i="5" s="1"/>
  <c r="C8" i="5"/>
  <c r="C6" i="5" s="1"/>
  <c r="C31" i="5" l="1"/>
  <c r="C68" i="5" s="1"/>
  <c r="C67" i="5" s="1"/>
  <c r="C66" i="5"/>
  <c r="C24" i="5"/>
  <c r="I24" i="3" l="1"/>
  <c r="H24" i="3"/>
  <c r="G24" i="3"/>
  <c r="C24" i="3"/>
  <c r="I18" i="3"/>
  <c r="H18" i="3"/>
  <c r="G18" i="3"/>
  <c r="F18" i="3"/>
  <c r="E18" i="3"/>
  <c r="D18" i="3"/>
  <c r="C18" i="3"/>
  <c r="E27" i="3" l="1"/>
  <c r="D5" i="6"/>
  <c r="D9" i="3" l="1"/>
  <c r="C13" i="6" l="1"/>
  <c r="D13" i="6" l="1"/>
  <c r="E13" i="6" l="1"/>
  <c r="E44" i="6" l="1"/>
  <c r="E21" i="6"/>
  <c r="E34" i="6"/>
  <c r="E42" i="6"/>
  <c r="E37" i="6"/>
  <c r="E30" i="6"/>
  <c r="E24" i="6"/>
  <c r="E36" i="6"/>
  <c r="E35" i="6"/>
  <c r="E43" i="6"/>
  <c r="E25" i="6"/>
  <c r="E33" i="6"/>
  <c r="E38" i="6"/>
  <c r="E32" i="6"/>
  <c r="E41" i="6"/>
  <c r="E23" i="6"/>
  <c r="E29" i="6"/>
  <c r="E31" i="6"/>
  <c r="E28" i="6"/>
  <c r="E22" i="6"/>
  <c r="E39" i="6"/>
  <c r="E40" i="6"/>
  <c r="E26" i="6"/>
  <c r="E27" i="6"/>
  <c r="H54" i="4" l="1"/>
  <c r="H55" i="4"/>
  <c r="C65" i="5" l="1"/>
  <c r="I42" i="19" l="1"/>
  <c r="H42" i="19"/>
  <c r="G42" i="19"/>
  <c r="F42" i="19"/>
  <c r="E42" i="19"/>
  <c r="J41" i="19"/>
  <c r="J40" i="19"/>
  <c r="J39" i="19"/>
  <c r="J38" i="19"/>
  <c r="J37" i="19"/>
  <c r="J36" i="19"/>
  <c r="J35" i="19"/>
  <c r="J34" i="19"/>
  <c r="J33" i="19"/>
  <c r="J32" i="19"/>
  <c r="J31" i="19"/>
  <c r="J30" i="19"/>
  <c r="J29" i="19"/>
  <c r="J28" i="19"/>
  <c r="J27" i="19"/>
  <c r="J26" i="19"/>
  <c r="J25" i="19"/>
  <c r="J24" i="19"/>
  <c r="J23" i="19"/>
  <c r="J22" i="19"/>
  <c r="Z22" i="19" s="1"/>
  <c r="J21" i="19"/>
  <c r="Z21" i="19" s="1"/>
  <c r="J20" i="19"/>
  <c r="Z20" i="19" s="1"/>
  <c r="J19" i="19"/>
  <c r="Z19" i="19" s="1"/>
  <c r="J18" i="19"/>
  <c r="Z18" i="19" s="1"/>
  <c r="J17" i="19"/>
  <c r="Z17" i="19" s="1"/>
  <c r="J16" i="19"/>
  <c r="Z16" i="19" s="1"/>
  <c r="J15" i="19"/>
  <c r="Z15" i="19" s="1"/>
  <c r="J14" i="19"/>
  <c r="Z14" i="19" s="1"/>
  <c r="J13" i="19"/>
  <c r="Z13" i="19" s="1"/>
  <c r="J12" i="19"/>
  <c r="Z12" i="19" s="1"/>
  <c r="J11" i="19"/>
  <c r="Z11" i="19" s="1"/>
  <c r="J10" i="19"/>
  <c r="Z10" i="19" s="1"/>
  <c r="J9" i="19"/>
  <c r="Z9" i="19" s="1"/>
  <c r="J8" i="19"/>
  <c r="Z8" i="19" s="1"/>
  <c r="J7" i="19"/>
  <c r="J42" i="19" l="1"/>
  <c r="Z23" i="19"/>
  <c r="Z7" i="19"/>
  <c r="AB7" i="19" s="1"/>
  <c r="F19" i="4" l="1"/>
  <c r="H19" i="4" s="1"/>
  <c r="H52" i="4"/>
  <c r="F49" i="4"/>
  <c r="H49" i="4" s="1"/>
  <c r="F50" i="4"/>
  <c r="H50" i="4" s="1"/>
  <c r="F51" i="4"/>
  <c r="H51" i="4" s="1"/>
  <c r="F53" i="4"/>
  <c r="H53" i="4" s="1"/>
  <c r="F23" i="4"/>
  <c r="H20" i="4"/>
  <c r="B59" i="14"/>
  <c r="B50" i="14"/>
  <c r="E37" i="14"/>
  <c r="E36" i="14"/>
  <c r="E32" i="14"/>
  <c r="D32" i="14"/>
  <c r="H30" i="14"/>
  <c r="G30" i="14"/>
  <c r="E30" i="14"/>
  <c r="D30" i="14"/>
  <c r="F22" i="14"/>
  <c r="D22" i="14"/>
  <c r="F21" i="14"/>
  <c r="D21" i="14"/>
  <c r="E19" i="14"/>
  <c r="D19" i="14"/>
  <c r="C19" i="14"/>
  <c r="F18" i="14"/>
  <c r="G18" i="14" s="1"/>
  <c r="F17" i="14"/>
  <c r="E17" i="14"/>
  <c r="D17" i="14"/>
  <c r="E16" i="14"/>
  <c r="D16" i="14"/>
  <c r="C16" i="14"/>
  <c r="E15" i="14"/>
  <c r="D15" i="14"/>
  <c r="C15" i="14"/>
  <c r="J44" i="12"/>
  <c r="I44" i="12"/>
  <c r="H44" i="12"/>
  <c r="G44" i="12"/>
  <c r="F44" i="12"/>
  <c r="E44" i="12"/>
  <c r="J43" i="12"/>
  <c r="I43" i="12"/>
  <c r="H43" i="12"/>
  <c r="G43" i="12"/>
  <c r="F43" i="12"/>
  <c r="E43" i="12"/>
  <c r="M42" i="12"/>
  <c r="J42" i="12"/>
  <c r="I42" i="12"/>
  <c r="H42" i="12"/>
  <c r="G42" i="12"/>
  <c r="F42" i="12"/>
  <c r="E42" i="12"/>
  <c r="M41" i="12"/>
  <c r="J41" i="12"/>
  <c r="I41" i="12"/>
  <c r="H41" i="12"/>
  <c r="G41" i="12"/>
  <c r="F41" i="12"/>
  <c r="E41" i="12"/>
  <c r="M40" i="12"/>
  <c r="J40" i="12"/>
  <c r="I40" i="12"/>
  <c r="H40" i="12"/>
  <c r="G40" i="12"/>
  <c r="F40" i="12"/>
  <c r="E40" i="12"/>
  <c r="M39" i="12"/>
  <c r="J39" i="12"/>
  <c r="I39" i="12"/>
  <c r="H39" i="12"/>
  <c r="G39" i="12"/>
  <c r="F39" i="12"/>
  <c r="E39" i="12"/>
  <c r="M38" i="12"/>
  <c r="J38" i="12"/>
  <c r="I38" i="12"/>
  <c r="H38" i="12"/>
  <c r="G38" i="12"/>
  <c r="F38" i="12"/>
  <c r="E38" i="12"/>
  <c r="M37" i="12"/>
  <c r="J37" i="12"/>
  <c r="I37" i="12"/>
  <c r="H37" i="12"/>
  <c r="G37" i="12"/>
  <c r="F37" i="12"/>
  <c r="E37" i="12"/>
  <c r="M36" i="12"/>
  <c r="J36" i="12"/>
  <c r="I36" i="12"/>
  <c r="H36" i="12"/>
  <c r="G36" i="12"/>
  <c r="F36" i="12"/>
  <c r="E36" i="12"/>
  <c r="M35" i="12"/>
  <c r="J35" i="12"/>
  <c r="I35" i="12"/>
  <c r="H35" i="12"/>
  <c r="G35" i="12"/>
  <c r="F35" i="12"/>
  <c r="E35" i="12"/>
  <c r="M34" i="12"/>
  <c r="J34" i="12"/>
  <c r="I34" i="12"/>
  <c r="H34" i="12"/>
  <c r="G34" i="12"/>
  <c r="F34" i="12"/>
  <c r="E34" i="12"/>
  <c r="M33" i="12"/>
  <c r="J33" i="12"/>
  <c r="I33" i="12"/>
  <c r="H33" i="12"/>
  <c r="G33" i="12"/>
  <c r="F33" i="12"/>
  <c r="E33" i="12"/>
  <c r="M32" i="12"/>
  <c r="J32" i="12"/>
  <c r="I32" i="12"/>
  <c r="H32" i="12"/>
  <c r="G32" i="12"/>
  <c r="F32" i="12"/>
  <c r="E32" i="12"/>
  <c r="M31" i="12"/>
  <c r="J31" i="12"/>
  <c r="I31" i="12"/>
  <c r="H31" i="12"/>
  <c r="G31" i="12"/>
  <c r="F31" i="12"/>
  <c r="E31" i="12"/>
  <c r="M30" i="12"/>
  <c r="J30" i="12"/>
  <c r="I30" i="12"/>
  <c r="H30" i="12"/>
  <c r="G30" i="12"/>
  <c r="F30" i="12"/>
  <c r="E30" i="12"/>
  <c r="M29" i="12"/>
  <c r="J29" i="12"/>
  <c r="I29" i="12"/>
  <c r="H29" i="12"/>
  <c r="G29" i="12"/>
  <c r="F29" i="12"/>
  <c r="E29" i="12"/>
  <c r="M28" i="12"/>
  <c r="J28" i="12"/>
  <c r="I28" i="12"/>
  <c r="H28" i="12"/>
  <c r="G28" i="12"/>
  <c r="F28" i="12"/>
  <c r="E28" i="12"/>
  <c r="M27" i="12"/>
  <c r="J27" i="12"/>
  <c r="I27" i="12"/>
  <c r="H27" i="12"/>
  <c r="G27" i="12"/>
  <c r="F27" i="12"/>
  <c r="E27" i="12"/>
  <c r="M26" i="12"/>
  <c r="J26" i="12"/>
  <c r="I26" i="12"/>
  <c r="H26" i="12"/>
  <c r="G26" i="12"/>
  <c r="F26" i="12"/>
  <c r="E26" i="12"/>
  <c r="M25" i="12"/>
  <c r="J25" i="12"/>
  <c r="I25" i="12"/>
  <c r="H25" i="12"/>
  <c r="G25" i="12"/>
  <c r="F25" i="12"/>
  <c r="E25" i="12"/>
  <c r="M24" i="12"/>
  <c r="J24" i="12"/>
  <c r="I24" i="12"/>
  <c r="H24" i="12"/>
  <c r="G24" i="12"/>
  <c r="F24" i="12"/>
  <c r="E24" i="12"/>
  <c r="M23" i="12"/>
  <c r="J23" i="12"/>
  <c r="I23" i="12"/>
  <c r="H23" i="12"/>
  <c r="G23" i="12"/>
  <c r="F23" i="12"/>
  <c r="E23" i="12"/>
  <c r="J22" i="12"/>
  <c r="I22" i="12"/>
  <c r="H22" i="12"/>
  <c r="G22" i="12"/>
  <c r="F22" i="12"/>
  <c r="E22" i="12"/>
  <c r="J21" i="12"/>
  <c r="I21" i="12"/>
  <c r="H21" i="12"/>
  <c r="G21" i="12"/>
  <c r="F21" i="12"/>
  <c r="E21" i="12"/>
  <c r="M20" i="12"/>
  <c r="J20" i="12"/>
  <c r="I20" i="12"/>
  <c r="H20" i="12"/>
  <c r="G20" i="12"/>
  <c r="F20" i="12"/>
  <c r="E20" i="12"/>
  <c r="J19" i="12"/>
  <c r="I19" i="12"/>
  <c r="H19" i="12"/>
  <c r="G19" i="12"/>
  <c r="F19" i="12"/>
  <c r="E19" i="12"/>
  <c r="J18" i="12"/>
  <c r="I18" i="12"/>
  <c r="H18" i="12"/>
  <c r="G18" i="12"/>
  <c r="F18" i="12"/>
  <c r="E18" i="12"/>
  <c r="J17" i="12"/>
  <c r="I17" i="12"/>
  <c r="H17" i="12"/>
  <c r="G17" i="12"/>
  <c r="F17" i="12"/>
  <c r="E17" i="12"/>
  <c r="J16" i="12"/>
  <c r="I16" i="12"/>
  <c r="H16" i="12"/>
  <c r="G16" i="12"/>
  <c r="F16" i="12"/>
  <c r="E16" i="12"/>
  <c r="J15" i="12"/>
  <c r="I15" i="12"/>
  <c r="H15" i="12"/>
  <c r="G15" i="12"/>
  <c r="F15" i="12"/>
  <c r="E15" i="12"/>
  <c r="J14" i="12"/>
  <c r="I14" i="12"/>
  <c r="H14" i="12"/>
  <c r="G14" i="12"/>
  <c r="F14" i="12"/>
  <c r="E14" i="12"/>
  <c r="J13" i="12"/>
  <c r="I13" i="12"/>
  <c r="H13" i="12"/>
  <c r="G13" i="12"/>
  <c r="F13" i="12"/>
  <c r="E13" i="12"/>
  <c r="J12" i="12"/>
  <c r="I12" i="12"/>
  <c r="H12" i="12"/>
  <c r="G12" i="12"/>
  <c r="F12" i="12"/>
  <c r="E12" i="12"/>
  <c r="J11" i="12"/>
  <c r="I11" i="12"/>
  <c r="H11" i="12"/>
  <c r="G11" i="12"/>
  <c r="F11" i="12"/>
  <c r="E11" i="12"/>
  <c r="J10" i="12"/>
  <c r="I10" i="12"/>
  <c r="H10" i="12"/>
  <c r="G10" i="12"/>
  <c r="F10" i="12"/>
  <c r="E10" i="12"/>
  <c r="J9" i="12"/>
  <c r="I9" i="12"/>
  <c r="H9" i="12"/>
  <c r="G9" i="12"/>
  <c r="F9" i="12"/>
  <c r="E9" i="12"/>
  <c r="J8" i="12"/>
  <c r="I8" i="12"/>
  <c r="H8" i="12"/>
  <c r="G8" i="12"/>
  <c r="F8" i="12"/>
  <c r="E8" i="12"/>
  <c r="J7" i="12"/>
  <c r="I7" i="12"/>
  <c r="H7" i="12"/>
  <c r="G7" i="12"/>
  <c r="F7" i="12"/>
  <c r="E7" i="12"/>
  <c r="J6" i="12"/>
  <c r="I6" i="12"/>
  <c r="H6" i="12"/>
  <c r="G6" i="12"/>
  <c r="F6" i="12"/>
  <c r="E6" i="12"/>
  <c r="J5" i="12"/>
  <c r="I5" i="12"/>
  <c r="H5" i="12"/>
  <c r="G5" i="12"/>
  <c r="F5" i="12"/>
  <c r="E5" i="12"/>
  <c r="F44" i="11"/>
  <c r="E44" i="11"/>
  <c r="F43" i="11"/>
  <c r="E43" i="11"/>
  <c r="F42" i="11"/>
  <c r="E42" i="11"/>
  <c r="F41" i="11"/>
  <c r="E41" i="11"/>
  <c r="F40" i="11"/>
  <c r="E40" i="11"/>
  <c r="F39" i="11"/>
  <c r="E39" i="11"/>
  <c r="F38" i="11"/>
  <c r="E38" i="11"/>
  <c r="F37" i="11"/>
  <c r="E37" i="11"/>
  <c r="F36" i="11"/>
  <c r="E36" i="11"/>
  <c r="F35" i="11"/>
  <c r="E35" i="11"/>
  <c r="F34" i="11"/>
  <c r="E34" i="11"/>
  <c r="F33" i="11"/>
  <c r="E33" i="11"/>
  <c r="F32" i="11"/>
  <c r="E32" i="11"/>
  <c r="F31" i="11"/>
  <c r="E31" i="11"/>
  <c r="F30" i="11"/>
  <c r="E30" i="11"/>
  <c r="F29" i="11"/>
  <c r="E29" i="11"/>
  <c r="F28" i="11"/>
  <c r="E28" i="11"/>
  <c r="F27" i="11"/>
  <c r="E27" i="11"/>
  <c r="F26" i="11"/>
  <c r="E26" i="11"/>
  <c r="F25" i="11"/>
  <c r="E25" i="11"/>
  <c r="F24" i="11"/>
  <c r="E24" i="11"/>
  <c r="F23" i="11"/>
  <c r="E23" i="11"/>
  <c r="F22" i="11"/>
  <c r="E22" i="11"/>
  <c r="F21" i="11"/>
  <c r="E21" i="11"/>
  <c r="F20" i="11"/>
  <c r="E20" i="11"/>
  <c r="F19" i="11"/>
  <c r="E19" i="11"/>
  <c r="F18" i="11"/>
  <c r="E18" i="11"/>
  <c r="F17" i="11"/>
  <c r="E17" i="11"/>
  <c r="F16" i="11"/>
  <c r="E16" i="11"/>
  <c r="F15" i="11"/>
  <c r="E15" i="11"/>
  <c r="F14" i="11"/>
  <c r="E14" i="11"/>
  <c r="F13" i="11"/>
  <c r="E13" i="11"/>
  <c r="F12" i="11"/>
  <c r="E12" i="11"/>
  <c r="F11" i="11"/>
  <c r="E11" i="11"/>
  <c r="F10" i="11"/>
  <c r="E10" i="11"/>
  <c r="F9" i="11"/>
  <c r="E9" i="11"/>
  <c r="F8" i="11"/>
  <c r="E8" i="11"/>
  <c r="F7" i="11"/>
  <c r="E7" i="11"/>
  <c r="F6" i="11"/>
  <c r="E6" i="11"/>
  <c r="F5" i="11"/>
  <c r="E5" i="11"/>
  <c r="J44" i="10"/>
  <c r="I44" i="10"/>
  <c r="H44" i="10"/>
  <c r="G44" i="10"/>
  <c r="F44" i="10"/>
  <c r="E44" i="10"/>
  <c r="K44" i="10" s="1"/>
  <c r="L44" i="10" s="1"/>
  <c r="N44" i="10" s="1"/>
  <c r="O44" i="10" s="1"/>
  <c r="H45" i="4" s="1"/>
  <c r="J43" i="10"/>
  <c r="I43" i="10"/>
  <c r="H43" i="10"/>
  <c r="G43" i="10"/>
  <c r="F43" i="10"/>
  <c r="E43" i="10"/>
  <c r="M42" i="10"/>
  <c r="J42" i="10"/>
  <c r="I42" i="10"/>
  <c r="H42" i="10"/>
  <c r="G42" i="10"/>
  <c r="F42" i="10"/>
  <c r="E42" i="10"/>
  <c r="M41" i="10"/>
  <c r="J41" i="10"/>
  <c r="I41" i="10"/>
  <c r="H41" i="10"/>
  <c r="G41" i="10"/>
  <c r="F41" i="10"/>
  <c r="E41" i="10"/>
  <c r="M40" i="10"/>
  <c r="J40" i="10"/>
  <c r="I40" i="10"/>
  <c r="H40" i="10"/>
  <c r="G40" i="10"/>
  <c r="F40" i="10"/>
  <c r="E40" i="10"/>
  <c r="M39" i="10"/>
  <c r="J39" i="10"/>
  <c r="I39" i="10"/>
  <c r="H39" i="10"/>
  <c r="G39" i="10"/>
  <c r="F39" i="10"/>
  <c r="E39" i="10"/>
  <c r="M38" i="10"/>
  <c r="J38" i="10"/>
  <c r="I38" i="10"/>
  <c r="H38" i="10"/>
  <c r="G38" i="10"/>
  <c r="F38" i="10"/>
  <c r="E38" i="10"/>
  <c r="M37" i="10"/>
  <c r="J37" i="10"/>
  <c r="I37" i="10"/>
  <c r="H37" i="10"/>
  <c r="G37" i="10"/>
  <c r="F37" i="10"/>
  <c r="E37" i="10"/>
  <c r="M36" i="10"/>
  <c r="J36" i="10"/>
  <c r="I36" i="10"/>
  <c r="H36" i="10"/>
  <c r="G36" i="10"/>
  <c r="F36" i="10"/>
  <c r="E36" i="10"/>
  <c r="M35" i="10"/>
  <c r="J35" i="10"/>
  <c r="I35" i="10"/>
  <c r="H35" i="10"/>
  <c r="G35" i="10"/>
  <c r="F35" i="10"/>
  <c r="E35" i="10"/>
  <c r="M34" i="10"/>
  <c r="J34" i="10"/>
  <c r="I34" i="10"/>
  <c r="H34" i="10"/>
  <c r="G34" i="10"/>
  <c r="F34" i="10"/>
  <c r="E34" i="10"/>
  <c r="M33" i="10"/>
  <c r="J33" i="10"/>
  <c r="I33" i="10"/>
  <c r="K33" i="10" s="1"/>
  <c r="L33" i="10" s="1"/>
  <c r="H33" i="10"/>
  <c r="G33" i="10"/>
  <c r="F33" i="10"/>
  <c r="E33" i="10"/>
  <c r="M32" i="10"/>
  <c r="J32" i="10"/>
  <c r="I32" i="10"/>
  <c r="H32" i="10"/>
  <c r="G32" i="10"/>
  <c r="F32" i="10"/>
  <c r="E32" i="10"/>
  <c r="M31" i="10"/>
  <c r="J31" i="10"/>
  <c r="I31" i="10"/>
  <c r="H31" i="10"/>
  <c r="G31" i="10"/>
  <c r="F31" i="10"/>
  <c r="E31" i="10"/>
  <c r="M30" i="10"/>
  <c r="J30" i="10"/>
  <c r="I30" i="10"/>
  <c r="H30" i="10"/>
  <c r="G30" i="10"/>
  <c r="F30" i="10"/>
  <c r="E30" i="10"/>
  <c r="M29" i="10"/>
  <c r="J29" i="10"/>
  <c r="I29" i="10"/>
  <c r="H29" i="10"/>
  <c r="G29" i="10"/>
  <c r="F29" i="10"/>
  <c r="E29" i="10"/>
  <c r="M28" i="10"/>
  <c r="J28" i="10"/>
  <c r="I28" i="10"/>
  <c r="H28" i="10"/>
  <c r="G28" i="10"/>
  <c r="F28" i="10"/>
  <c r="E28" i="10"/>
  <c r="M27" i="10"/>
  <c r="J27" i="10"/>
  <c r="I27" i="10"/>
  <c r="H27" i="10"/>
  <c r="G27" i="10"/>
  <c r="F27" i="10"/>
  <c r="E27" i="10"/>
  <c r="M26" i="10"/>
  <c r="J26" i="10"/>
  <c r="I26" i="10"/>
  <c r="H26" i="10"/>
  <c r="G26" i="10"/>
  <c r="F26" i="10"/>
  <c r="E26" i="10"/>
  <c r="M25" i="10"/>
  <c r="J25" i="10"/>
  <c r="I25" i="10"/>
  <c r="H25" i="10"/>
  <c r="G25" i="10"/>
  <c r="F25" i="10"/>
  <c r="E25" i="10"/>
  <c r="M24" i="10"/>
  <c r="J24" i="10"/>
  <c r="I24" i="10"/>
  <c r="H24" i="10"/>
  <c r="G24" i="10"/>
  <c r="F24" i="10"/>
  <c r="E24" i="10"/>
  <c r="M23" i="10"/>
  <c r="J23" i="10"/>
  <c r="I23" i="10"/>
  <c r="H23" i="10"/>
  <c r="G23" i="10"/>
  <c r="F23" i="10"/>
  <c r="E23" i="10"/>
  <c r="J22" i="10"/>
  <c r="I22" i="10"/>
  <c r="H22" i="10"/>
  <c r="G22" i="10"/>
  <c r="F22" i="10"/>
  <c r="E22" i="10"/>
  <c r="K22" i="10" s="1"/>
  <c r="L22" i="10" s="1"/>
  <c r="N22" i="10" s="1"/>
  <c r="J21" i="10"/>
  <c r="I21" i="10"/>
  <c r="H21" i="10"/>
  <c r="G21" i="10"/>
  <c r="F21" i="10"/>
  <c r="E21" i="10"/>
  <c r="M20" i="10"/>
  <c r="J20" i="10"/>
  <c r="I20" i="10"/>
  <c r="H20" i="10"/>
  <c r="G20" i="10"/>
  <c r="F20" i="10"/>
  <c r="E20" i="10"/>
  <c r="J19" i="10"/>
  <c r="I19" i="10"/>
  <c r="H19" i="10"/>
  <c r="G19" i="10"/>
  <c r="F19" i="10"/>
  <c r="E19" i="10"/>
  <c r="J18" i="10"/>
  <c r="I18" i="10"/>
  <c r="H18" i="10"/>
  <c r="G18" i="10"/>
  <c r="F18" i="10"/>
  <c r="E18" i="10"/>
  <c r="J17" i="10"/>
  <c r="I17" i="10"/>
  <c r="H17" i="10"/>
  <c r="G17" i="10"/>
  <c r="F17" i="10"/>
  <c r="E17" i="10"/>
  <c r="J16" i="10"/>
  <c r="I16" i="10"/>
  <c r="H16" i="10"/>
  <c r="G16" i="10"/>
  <c r="F16" i="10"/>
  <c r="E16" i="10"/>
  <c r="J15" i="10"/>
  <c r="I15" i="10"/>
  <c r="H15" i="10"/>
  <c r="G15" i="10"/>
  <c r="F15" i="10"/>
  <c r="E15" i="10"/>
  <c r="J14" i="10"/>
  <c r="I14" i="10"/>
  <c r="H14" i="10"/>
  <c r="G14" i="10"/>
  <c r="F14" i="10"/>
  <c r="E14" i="10"/>
  <c r="J13" i="10"/>
  <c r="I13" i="10"/>
  <c r="H13" i="10"/>
  <c r="G13" i="10"/>
  <c r="F13" i="10"/>
  <c r="E13" i="10"/>
  <c r="J12" i="10"/>
  <c r="I12" i="10"/>
  <c r="H12" i="10"/>
  <c r="G12" i="10"/>
  <c r="F12" i="10"/>
  <c r="E12" i="10"/>
  <c r="J11" i="10"/>
  <c r="I11" i="10"/>
  <c r="H11" i="10"/>
  <c r="G11" i="10"/>
  <c r="F11" i="10"/>
  <c r="E11" i="10"/>
  <c r="J10" i="10"/>
  <c r="I10" i="10"/>
  <c r="H10" i="10"/>
  <c r="G10" i="10"/>
  <c r="F10" i="10"/>
  <c r="E10" i="10"/>
  <c r="J9" i="10"/>
  <c r="I9" i="10"/>
  <c r="H9" i="10"/>
  <c r="G9" i="10"/>
  <c r="F9" i="10"/>
  <c r="E9" i="10"/>
  <c r="J8" i="10"/>
  <c r="I8" i="10"/>
  <c r="H8" i="10"/>
  <c r="G8" i="10"/>
  <c r="F8" i="10"/>
  <c r="E8" i="10"/>
  <c r="J7" i="10"/>
  <c r="I7" i="10"/>
  <c r="H7" i="10"/>
  <c r="G7" i="10"/>
  <c r="F7" i="10"/>
  <c r="E7" i="10"/>
  <c r="J6" i="10"/>
  <c r="I6" i="10"/>
  <c r="H6" i="10"/>
  <c r="G6" i="10"/>
  <c r="F6" i="10"/>
  <c r="E6" i="10"/>
  <c r="J5" i="10"/>
  <c r="I5" i="10"/>
  <c r="H5" i="10"/>
  <c r="G5" i="10"/>
  <c r="F5" i="10"/>
  <c r="E5" i="10"/>
  <c r="D25" i="6"/>
  <c r="D26" i="6" s="1"/>
  <c r="D20" i="6"/>
  <c r="D21" i="6" s="1"/>
  <c r="D22" i="6" s="1"/>
  <c r="D17" i="6"/>
  <c r="C17" i="6" s="1"/>
  <c r="F17" i="6" s="1"/>
  <c r="F36" i="4"/>
  <c r="H36" i="4" s="1"/>
  <c r="H27" i="4"/>
  <c r="H26" i="4"/>
  <c r="H25" i="4"/>
  <c r="H23" i="4"/>
  <c r="H22" i="4"/>
  <c r="H21" i="4"/>
  <c r="M51" i="3"/>
  <c r="L51" i="3"/>
  <c r="H51" i="3"/>
  <c r="N51" i="3" s="1"/>
  <c r="M50" i="3"/>
  <c r="L50" i="3"/>
  <c r="H50" i="3"/>
  <c r="I50" i="3" s="1"/>
  <c r="M49" i="3"/>
  <c r="L49" i="3"/>
  <c r="H49" i="3"/>
  <c r="N49" i="3" s="1"/>
  <c r="M48" i="3"/>
  <c r="L48" i="3"/>
  <c r="H48" i="3"/>
  <c r="K47" i="3"/>
  <c r="H47" i="3"/>
  <c r="I47" i="3" s="1"/>
  <c r="M46" i="3"/>
  <c r="L46" i="3"/>
  <c r="H46" i="3"/>
  <c r="K45" i="3"/>
  <c r="H45" i="3"/>
  <c r="M44" i="3"/>
  <c r="L44" i="3"/>
  <c r="H44" i="3"/>
  <c r="I44" i="3" s="1"/>
  <c r="K43" i="3"/>
  <c r="H43" i="3"/>
  <c r="K42" i="3"/>
  <c r="H42" i="3"/>
  <c r="M41" i="3"/>
  <c r="L41" i="3"/>
  <c r="H41" i="3"/>
  <c r="I41" i="3" s="1"/>
  <c r="M40" i="3"/>
  <c r="L40" i="3"/>
  <c r="H40" i="3"/>
  <c r="I40" i="3" s="1"/>
  <c r="M39" i="3"/>
  <c r="L39" i="3"/>
  <c r="H39" i="3"/>
  <c r="N39" i="3" s="1"/>
  <c r="M38" i="3"/>
  <c r="L38" i="3"/>
  <c r="H38" i="3"/>
  <c r="M37" i="3"/>
  <c r="L37" i="3"/>
  <c r="H37" i="3"/>
  <c r="N37" i="3" s="1"/>
  <c r="M36" i="3"/>
  <c r="L36" i="3"/>
  <c r="H36" i="3"/>
  <c r="N36" i="3" s="1"/>
  <c r="M35" i="3"/>
  <c r="L35" i="3"/>
  <c r="H35" i="3"/>
  <c r="I35" i="3" s="1"/>
  <c r="M34" i="3"/>
  <c r="L34" i="3"/>
  <c r="H34" i="3"/>
  <c r="N34" i="3" s="1"/>
  <c r="M33" i="3"/>
  <c r="L33" i="3"/>
  <c r="H33" i="3"/>
  <c r="M32" i="3"/>
  <c r="L32" i="3"/>
  <c r="H32" i="3"/>
  <c r="N32" i="3" s="1"/>
  <c r="M31" i="3"/>
  <c r="L31" i="3"/>
  <c r="H31" i="3"/>
  <c r="H24" i="4"/>
  <c r="I38" i="3" l="1"/>
  <c r="K28" i="10"/>
  <c r="L28" i="10" s="1"/>
  <c r="K36" i="10"/>
  <c r="L36" i="10" s="1"/>
  <c r="K41" i="12"/>
  <c r="L41" i="12" s="1"/>
  <c r="G22" i="14"/>
  <c r="B67" i="14" s="1"/>
  <c r="B69" i="14" s="1"/>
  <c r="I18" i="14"/>
  <c r="I33" i="3"/>
  <c r="N33" i="3" s="1"/>
  <c r="K15" i="10"/>
  <c r="L15" i="10" s="1"/>
  <c r="N15" i="10" s="1"/>
  <c r="F15" i="14"/>
  <c r="G15" i="14" s="1"/>
  <c r="B49" i="14" s="1"/>
  <c r="B51" i="14" s="1"/>
  <c r="B55" i="14" s="1"/>
  <c r="K37" i="10"/>
  <c r="L37" i="10" s="1"/>
  <c r="K17" i="12"/>
  <c r="L17" i="12" s="1"/>
  <c r="N17" i="12" s="1"/>
  <c r="K30" i="12"/>
  <c r="L30" i="12" s="1"/>
  <c r="K8" i="10"/>
  <c r="L8" i="10" s="1"/>
  <c r="N8" i="10" s="1"/>
  <c r="K12" i="10"/>
  <c r="L12" i="10" s="1"/>
  <c r="N12" i="10" s="1"/>
  <c r="K18" i="10"/>
  <c r="L18" i="10" s="1"/>
  <c r="N18" i="10" s="1"/>
  <c r="K21" i="10"/>
  <c r="L21" i="10" s="1"/>
  <c r="N21" i="10" s="1"/>
  <c r="F16" i="14"/>
  <c r="K16" i="10"/>
  <c r="L16" i="10" s="1"/>
  <c r="N16" i="10" s="1"/>
  <c r="K20" i="10"/>
  <c r="L20" i="10" s="1"/>
  <c r="K34" i="12"/>
  <c r="L34" i="12" s="1"/>
  <c r="N34" i="12" s="1"/>
  <c r="K38" i="12"/>
  <c r="L38" i="12" s="1"/>
  <c r="K43" i="12"/>
  <c r="L43" i="12" s="1"/>
  <c r="N43" i="12" s="1"/>
  <c r="O43" i="12" s="1"/>
  <c r="H17" i="4" s="1"/>
  <c r="K42" i="12"/>
  <c r="L42" i="12" s="1"/>
  <c r="K10" i="12"/>
  <c r="L10" i="12" s="1"/>
  <c r="N10" i="12" s="1"/>
  <c r="K23" i="12"/>
  <c r="L23" i="12" s="1"/>
  <c r="N23" i="12" s="1"/>
  <c r="K32" i="12"/>
  <c r="L32" i="12" s="1"/>
  <c r="K7" i="10"/>
  <c r="L7" i="10" s="1"/>
  <c r="N7" i="10" s="1"/>
  <c r="K18" i="12"/>
  <c r="L18" i="12" s="1"/>
  <c r="N18" i="12" s="1"/>
  <c r="K19" i="12"/>
  <c r="L19" i="12" s="1"/>
  <c r="N19" i="12" s="1"/>
  <c r="K31" i="12"/>
  <c r="L31" i="12" s="1"/>
  <c r="N31" i="12" s="1"/>
  <c r="K38" i="10"/>
  <c r="L38" i="10" s="1"/>
  <c r="N38" i="10" s="1"/>
  <c r="K5" i="12"/>
  <c r="L5" i="12" s="1"/>
  <c r="N5" i="12" s="1"/>
  <c r="K9" i="12"/>
  <c r="L9" i="12" s="1"/>
  <c r="N9" i="12" s="1"/>
  <c r="K22" i="12"/>
  <c r="L22" i="12" s="1"/>
  <c r="N22" i="12" s="1"/>
  <c r="D18" i="6"/>
  <c r="C27" i="5"/>
  <c r="C52" i="5"/>
  <c r="C64" i="5"/>
  <c r="C26" i="5"/>
  <c r="C22" i="5"/>
  <c r="C61" i="5"/>
  <c r="C62" i="5"/>
  <c r="C21" i="5"/>
  <c r="C29" i="5"/>
  <c r="C25" i="5"/>
  <c r="C28" i="5"/>
  <c r="C60" i="5"/>
  <c r="C63" i="5"/>
  <c r="K10" i="10"/>
  <c r="L10" i="10" s="1"/>
  <c r="N10" i="10" s="1"/>
  <c r="K14" i="10"/>
  <c r="L14" i="10" s="1"/>
  <c r="N14" i="10" s="1"/>
  <c r="K27" i="10"/>
  <c r="L27" i="10" s="1"/>
  <c r="N27" i="10" s="1"/>
  <c r="K32" i="10"/>
  <c r="L32" i="10" s="1"/>
  <c r="N32" i="10" s="1"/>
  <c r="K35" i="10"/>
  <c r="L35" i="10" s="1"/>
  <c r="N35" i="10" s="1"/>
  <c r="K7" i="12"/>
  <c r="L7" i="12" s="1"/>
  <c r="N7" i="12" s="1"/>
  <c r="K13" i="12"/>
  <c r="L13" i="12" s="1"/>
  <c r="N13" i="12" s="1"/>
  <c r="O5" i="12" s="1"/>
  <c r="H10" i="4" s="1"/>
  <c r="K27" i="12"/>
  <c r="L27" i="12" s="1"/>
  <c r="N27" i="12" s="1"/>
  <c r="K37" i="12"/>
  <c r="L37" i="12" s="1"/>
  <c r="N37" i="12" s="1"/>
  <c r="G17" i="14"/>
  <c r="I17" i="14" s="1"/>
  <c r="G21" i="14"/>
  <c r="I21" i="14" s="1"/>
  <c r="K39" i="10"/>
  <c r="L39" i="10" s="1"/>
  <c r="N39" i="10" s="1"/>
  <c r="O39" i="10" s="1"/>
  <c r="H42" i="4" s="1"/>
  <c r="K26" i="10"/>
  <c r="L26" i="10" s="1"/>
  <c r="N26" i="10" s="1"/>
  <c r="K8" i="12"/>
  <c r="L8" i="12" s="1"/>
  <c r="N8" i="12" s="1"/>
  <c r="K29" i="12"/>
  <c r="L29" i="12" s="1"/>
  <c r="I42" i="3"/>
  <c r="K6" i="10"/>
  <c r="L6" i="10" s="1"/>
  <c r="N6" i="10" s="1"/>
  <c r="K43" i="10"/>
  <c r="L43" i="10" s="1"/>
  <c r="N43" i="10" s="1"/>
  <c r="O43" i="10" s="1"/>
  <c r="H44" i="4" s="1"/>
  <c r="K16" i="12"/>
  <c r="L16" i="12" s="1"/>
  <c r="N16" i="12" s="1"/>
  <c r="K21" i="12"/>
  <c r="L21" i="12" s="1"/>
  <c r="N21" i="12" s="1"/>
  <c r="K28" i="12"/>
  <c r="L28" i="12" s="1"/>
  <c r="N28" i="12" s="1"/>
  <c r="K39" i="12"/>
  <c r="L39" i="12" s="1"/>
  <c r="K5" i="10"/>
  <c r="L5" i="10" s="1"/>
  <c r="N5" i="10" s="1"/>
  <c r="K11" i="10"/>
  <c r="L11" i="10" s="1"/>
  <c r="N11" i="10" s="1"/>
  <c r="K23" i="10"/>
  <c r="L23" i="10" s="1"/>
  <c r="N23" i="10" s="1"/>
  <c r="O22" i="10" s="1"/>
  <c r="H39" i="4" s="1"/>
  <c r="K41" i="10"/>
  <c r="L41" i="10" s="1"/>
  <c r="N41" i="10" s="1"/>
  <c r="K11" i="12"/>
  <c r="L11" i="12" s="1"/>
  <c r="N11" i="12" s="1"/>
  <c r="K12" i="12"/>
  <c r="L12" i="12" s="1"/>
  <c r="N12" i="12" s="1"/>
  <c r="K15" i="12"/>
  <c r="L15" i="12" s="1"/>
  <c r="N15" i="12" s="1"/>
  <c r="K26" i="12"/>
  <c r="L26" i="12" s="1"/>
  <c r="N26" i="12" s="1"/>
  <c r="K36" i="12"/>
  <c r="L36" i="12" s="1"/>
  <c r="N36" i="12" s="1"/>
  <c r="N42" i="12"/>
  <c r="I45" i="3"/>
  <c r="K40" i="12"/>
  <c r="L40" i="12" s="1"/>
  <c r="N40" i="12" s="1"/>
  <c r="F19" i="14"/>
  <c r="G19" i="14" s="1"/>
  <c r="I19" i="14" s="1"/>
  <c r="K19" i="10"/>
  <c r="L19" i="10" s="1"/>
  <c r="N19" i="10" s="1"/>
  <c r="K25" i="10"/>
  <c r="L25" i="10" s="1"/>
  <c r="N25" i="10" s="1"/>
  <c r="K34" i="10"/>
  <c r="L34" i="10" s="1"/>
  <c r="N34" i="10" s="1"/>
  <c r="K9" i="10"/>
  <c r="L9" i="10" s="1"/>
  <c r="N9" i="10" s="1"/>
  <c r="K13" i="10"/>
  <c r="L13" i="10" s="1"/>
  <c r="N13" i="10" s="1"/>
  <c r="K24" i="10"/>
  <c r="L24" i="10" s="1"/>
  <c r="N24" i="10" s="1"/>
  <c r="K30" i="10"/>
  <c r="L30" i="10" s="1"/>
  <c r="N30" i="10" s="1"/>
  <c r="K40" i="10"/>
  <c r="L40" i="10" s="1"/>
  <c r="N40" i="10" s="1"/>
  <c r="K42" i="10"/>
  <c r="L42" i="10" s="1"/>
  <c r="N42" i="10" s="1"/>
  <c r="K6" i="12"/>
  <c r="L6" i="12" s="1"/>
  <c r="N6" i="12" s="1"/>
  <c r="K25" i="12"/>
  <c r="L25" i="12" s="1"/>
  <c r="N25" i="12" s="1"/>
  <c r="K35" i="12"/>
  <c r="L35" i="12" s="1"/>
  <c r="N35" i="12" s="1"/>
  <c r="K44" i="12"/>
  <c r="L44" i="12" s="1"/>
  <c r="N44" i="12" s="1"/>
  <c r="O44" i="12" s="1"/>
  <c r="H18" i="4" s="1"/>
  <c r="K17" i="10"/>
  <c r="L17" i="10" s="1"/>
  <c r="N17" i="10" s="1"/>
  <c r="K29" i="10"/>
  <c r="L29" i="10" s="1"/>
  <c r="K31" i="10"/>
  <c r="L31" i="10" s="1"/>
  <c r="N31" i="10" s="1"/>
  <c r="K14" i="12"/>
  <c r="L14" i="12" s="1"/>
  <c r="N14" i="12" s="1"/>
  <c r="K20" i="12"/>
  <c r="L20" i="12" s="1"/>
  <c r="N20" i="12" s="1"/>
  <c r="K24" i="12"/>
  <c r="L24" i="12" s="1"/>
  <c r="N24" i="12" s="1"/>
  <c r="K33" i="12"/>
  <c r="L33" i="12" s="1"/>
  <c r="N33" i="12" s="1"/>
  <c r="G16" i="14"/>
  <c r="I16" i="14" s="1"/>
  <c r="N38" i="3"/>
  <c r="N28" i="10"/>
  <c r="N32" i="12"/>
  <c r="N35" i="3"/>
  <c r="N40" i="3"/>
  <c r="M43" i="3"/>
  <c r="N30" i="12"/>
  <c r="L47" i="3"/>
  <c r="I43" i="3"/>
  <c r="N47" i="3"/>
  <c r="I32" i="3"/>
  <c r="I34" i="3"/>
  <c r="M45" i="3"/>
  <c r="N20" i="10"/>
  <c r="N33" i="10"/>
  <c r="N36" i="10"/>
  <c r="N38" i="12"/>
  <c r="L43" i="3"/>
  <c r="N43" i="3" s="1"/>
  <c r="N29" i="12"/>
  <c r="N39" i="12"/>
  <c r="O39" i="12" s="1"/>
  <c r="H15" i="4" s="1"/>
  <c r="M42" i="3"/>
  <c r="N37" i="10"/>
  <c r="N41" i="12"/>
  <c r="N29" i="10"/>
  <c r="F35" i="4"/>
  <c r="H35" i="4" s="1"/>
  <c r="C30" i="5"/>
  <c r="D23" i="6"/>
  <c r="C18" i="6"/>
  <c r="D27" i="6"/>
  <c r="N41" i="3"/>
  <c r="I37" i="3"/>
  <c r="N44" i="3"/>
  <c r="I46" i="3"/>
  <c r="N46" i="3" s="1"/>
  <c r="M47" i="3"/>
  <c r="I49" i="3"/>
  <c r="N50" i="3"/>
  <c r="I22" i="14"/>
  <c r="I51" i="3"/>
  <c r="L42" i="3"/>
  <c r="I48" i="3"/>
  <c r="N48" i="3" s="1"/>
  <c r="B66" i="14"/>
  <c r="B68" i="14" s="1"/>
  <c r="I31" i="3"/>
  <c r="N31" i="3" s="1"/>
  <c r="I39" i="3"/>
  <c r="I36" i="3"/>
  <c r="L45" i="3"/>
  <c r="H16" i="5" l="1"/>
  <c r="O14" i="12"/>
  <c r="H11" i="4" s="1"/>
  <c r="O22" i="12"/>
  <c r="H12" i="4" s="1"/>
  <c r="I15" i="14"/>
  <c r="C9" i="5"/>
  <c r="O5" i="10"/>
  <c r="H37" i="4" s="1"/>
  <c r="C44" i="5" s="1"/>
  <c r="C16" i="5"/>
  <c r="C17" i="5"/>
  <c r="H19" i="5"/>
  <c r="C46" i="5"/>
  <c r="C51" i="5"/>
  <c r="C49" i="5"/>
  <c r="C11" i="5"/>
  <c r="C14" i="5"/>
  <c r="C42" i="5"/>
  <c r="C10" i="5"/>
  <c r="B60" i="14"/>
  <c r="B61" i="14" s="1"/>
  <c r="J17" i="14" s="1"/>
  <c r="F29" i="4" s="1"/>
  <c r="H29" i="4" s="1"/>
  <c r="O14" i="10"/>
  <c r="H38" i="4" s="1"/>
  <c r="N42" i="3"/>
  <c r="N45" i="3"/>
  <c r="O24" i="10"/>
  <c r="H40" i="4" s="1"/>
  <c r="L52" i="3"/>
  <c r="H47" i="4" s="1"/>
  <c r="O40" i="12"/>
  <c r="H16" i="4" s="1"/>
  <c r="M52" i="3"/>
  <c r="H48" i="4" s="1"/>
  <c r="O24" i="12"/>
  <c r="H13" i="4" s="1"/>
  <c r="O40" i="10"/>
  <c r="H43" i="4" s="1"/>
  <c r="O29" i="10"/>
  <c r="H41" i="4" s="1"/>
  <c r="O29" i="12"/>
  <c r="H14" i="4" s="1"/>
  <c r="I52" i="3"/>
  <c r="H9" i="4" s="1"/>
  <c r="D28" i="6"/>
  <c r="C19" i="6"/>
  <c r="F18" i="6"/>
  <c r="B56" i="14"/>
  <c r="J22" i="14" s="1"/>
  <c r="F34" i="4" s="1"/>
  <c r="H34" i="4" s="1"/>
  <c r="N52" i="3" l="1"/>
  <c r="J18" i="14"/>
  <c r="F30" i="4" s="1"/>
  <c r="H30" i="4" s="1"/>
  <c r="C37" i="5" s="1"/>
  <c r="C56" i="5"/>
  <c r="C48" i="5"/>
  <c r="C36" i="5"/>
  <c r="C50" i="5"/>
  <c r="C45" i="5"/>
  <c r="C57" i="5"/>
  <c r="C47" i="5"/>
  <c r="C41" i="5"/>
  <c r="C15" i="5"/>
  <c r="C13" i="5"/>
  <c r="C12" i="5"/>
  <c r="C55" i="5"/>
  <c r="C20" i="6"/>
  <c r="F19" i="6"/>
  <c r="D29" i="6"/>
  <c r="J19" i="14"/>
  <c r="F31" i="4" s="1"/>
  <c r="H31" i="4" s="1"/>
  <c r="J21" i="14"/>
  <c r="F32" i="4" s="1"/>
  <c r="H32" i="4" s="1"/>
  <c r="J16" i="14"/>
  <c r="F33" i="4" s="1"/>
  <c r="H33" i="4" s="1"/>
  <c r="J15" i="14"/>
  <c r="F28" i="4" s="1"/>
  <c r="H28" i="4" s="1"/>
  <c r="H18" i="5" l="1"/>
  <c r="H15" i="5"/>
  <c r="C38" i="5"/>
  <c r="C35" i="5"/>
  <c r="C40" i="5"/>
  <c r="C39" i="5"/>
  <c r="D30" i="6"/>
  <c r="F20" i="6"/>
  <c r="C21" i="6"/>
  <c r="C22" i="6" l="1"/>
  <c r="F21" i="6"/>
  <c r="D31" i="6"/>
  <c r="D32" i="6" l="1"/>
  <c r="F22" i="6"/>
  <c r="C23" i="6"/>
  <c r="C24" i="6" l="1"/>
  <c r="F23" i="6"/>
  <c r="D33" i="6"/>
  <c r="D34" i="6" l="1"/>
  <c r="C25" i="6"/>
  <c r="F24" i="6"/>
  <c r="C26" i="6" l="1"/>
  <c r="F25" i="6"/>
  <c r="D35" i="6"/>
  <c r="D36" i="6" l="1"/>
  <c r="C27" i="6"/>
  <c r="F26" i="6"/>
  <c r="F27" i="6" l="1"/>
  <c r="C28" i="6"/>
  <c r="D37" i="6"/>
  <c r="D38" i="6" l="1"/>
  <c r="F28" i="6"/>
  <c r="C29" i="6"/>
  <c r="F29" i="6" l="1"/>
  <c r="C30" i="6"/>
  <c r="D39" i="6"/>
  <c r="D40" i="6" l="1"/>
  <c r="F30" i="6"/>
  <c r="C31" i="6"/>
  <c r="F31" i="6" l="1"/>
  <c r="C32" i="6"/>
  <c r="D41" i="6"/>
  <c r="D42" i="6" l="1"/>
  <c r="F32" i="6"/>
  <c r="C33" i="6"/>
  <c r="F33" i="6" l="1"/>
  <c r="C34" i="6"/>
  <c r="D43" i="6"/>
  <c r="F34" i="6" l="1"/>
  <c r="C35" i="6"/>
  <c r="F35" i="6" l="1"/>
  <c r="C36" i="6"/>
  <c r="F36" i="6" l="1"/>
  <c r="C37" i="6"/>
  <c r="F37" i="6" l="1"/>
  <c r="C38" i="6"/>
  <c r="F38" i="6" l="1"/>
  <c r="C39" i="6"/>
  <c r="F39" i="6" l="1"/>
  <c r="C40" i="6"/>
  <c r="F40" i="6" l="1"/>
  <c r="C41" i="6"/>
  <c r="F41" i="6" l="1"/>
  <c r="C42" i="6"/>
  <c r="F42" i="6" l="1"/>
  <c r="C43" i="6"/>
  <c r="C44" i="6" l="1"/>
  <c r="F44" i="6" s="1"/>
  <c r="F43" i="6"/>
  <c r="F45" i="6" l="1"/>
  <c r="F46" i="4" s="1"/>
  <c r="H46" i="4" s="1"/>
  <c r="C33" i="5" l="1"/>
  <c r="H17" i="5" l="1"/>
  <c r="H20" i="5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I17" authorId="0" shapeId="0" xr:uid="{0A11FE94-D9CB-4AD2-9008-D489280E4657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Emissões das Operações de Estabelecimento da Servidão</t>
        </r>
      </text>
    </comment>
    <comment ref="AB26" authorId="0" shapeId="0" xr:uid="{DB96BA14-4D70-4DDE-8B06-8F3DFD153988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Em função da Biomassa existente intervencionada (cortada) no âmbito do estabelecimento da servidão</t>
        </r>
      </text>
    </comment>
    <comment ref="AE26" authorId="0" shapeId="0" xr:uid="{22D26A01-8391-4A07-A0EA-F51B61E071BA}">
      <text>
        <r>
          <rPr>
            <b/>
            <sz val="9"/>
            <color indexed="81"/>
            <rFont val="Tahoma"/>
            <charset val="1"/>
          </rPr>
          <t>Autor:</t>
        </r>
        <r>
          <rPr>
            <sz val="9"/>
            <color indexed="81"/>
            <rFont val="Tahoma"/>
            <charset val="1"/>
          </rPr>
          <t xml:space="preserve">
Emissões das Operações de Estabelecimento da Servidão</t>
        </r>
      </text>
    </comment>
    <comment ref="AA184" authorId="0" shapeId="0" xr:uid="{A291FC0E-7274-4764-A38F-953DF8133DBD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Em função da Biomassa existente intervencionada (cortada) no âmbito do estabelecimento da servidão</t>
        </r>
      </text>
    </comment>
    <comment ref="AD184" authorId="0" shapeId="0" xr:uid="{4FA550A2-680F-43B1-A857-89082D03D24F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Emissões das Operações de Estabelecimento da Servidão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E30" authorId="0" shapeId="0" xr:uid="{00000000-0006-0000-0200-000002000000}">
      <text>
        <r>
          <rPr>
            <sz val="11"/>
            <color theme="1"/>
            <rFont val="Calibri"/>
            <family val="2"/>
            <scheme val="minor"/>
          </rPr>
          <t>Autor:
Dados Inventario Florestal Nacional -VI (ICNF)</t>
        </r>
      </text>
    </comment>
    <comment ref="F30" authorId="0" shapeId="0" xr:uid="{00000000-0006-0000-0200-000003000000}">
      <text>
        <r>
          <rPr>
            <sz val="11"/>
            <color theme="1"/>
            <rFont val="Calibri"/>
            <family val="2"/>
            <scheme val="minor"/>
          </rPr>
          <t>Autor:
Dados Inventario Florestal Nacional -VI (ICNF)</t>
        </r>
      </text>
    </comment>
    <comment ref="G30" authorId="0" shapeId="0" xr:uid="{00000000-0006-0000-0200-000004000000}">
      <text>
        <r>
          <rPr>
            <sz val="11"/>
            <color theme="1"/>
            <rFont val="Calibri"/>
            <family val="2"/>
            <scheme val="minor"/>
          </rPr>
          <t>Autor:
Dados Inventario Florestal Nacional -VI (ICNF)</t>
        </r>
      </text>
    </comment>
    <comment ref="J30" authorId="0" shapeId="0" xr:uid="{00000000-0006-0000-0200-000005000000}">
      <text>
        <r>
          <rPr>
            <sz val="11"/>
            <color theme="1"/>
            <rFont val="Calibri"/>
            <family val="2"/>
            <scheme val="minor"/>
          </rPr>
          <t>Autor:
Fatores NIR 2023 (APA)</t>
        </r>
      </text>
    </comment>
    <comment ref="K30" authorId="0" shapeId="0" xr:uid="{00000000-0006-0000-0200-000006000000}">
      <text>
        <r>
          <rPr>
            <sz val="11"/>
            <color theme="1"/>
            <rFont val="Calibri"/>
            <family val="2"/>
            <scheme val="minor"/>
          </rPr>
          <t>Autor:
Fatores NIR 2023 (APA)</t>
        </r>
      </text>
    </comment>
    <comment ref="K42" authorId="0" shapeId="0" xr:uid="{00000000-0006-0000-0200-000007000000}">
      <text>
        <r>
          <rPr>
            <sz val="11"/>
            <color theme="1"/>
            <rFont val="Calibri"/>
            <family val="2"/>
            <scheme val="minor"/>
          </rPr>
          <t>Autor:
Fator de Sequestro PRF = 0.403* Fator P.manso+0.292*Fator Medronheiro + 0.08 Fator Sobreiro + 0.172 Fator Carvalhos + 0.038 Fator Outras Folhosas + 0.015 Fator Outras Culturas Permanentes (Feito em propoção das espécies do PRF existente)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C16" authorId="0" shapeId="0" xr:uid="{00000000-0006-0000-0500-000001000000}">
      <text>
        <r>
          <rPr>
            <sz val="11"/>
            <color theme="1"/>
            <rFont val="Calibri"/>
            <family val="2"/>
            <scheme val="minor"/>
          </rPr>
          <t>Autor:
Fator de Emissão da Eletricidade em Portugal 2024, APA.</t>
        </r>
      </text>
    </comment>
    <comment ref="D16" authorId="0" shapeId="0" xr:uid="{00000000-0006-0000-0500-000002000000}">
      <text>
        <r>
          <rPr>
            <sz val="11"/>
            <color theme="1"/>
            <rFont val="Calibri"/>
            <family val="2"/>
            <scheme val="minor"/>
          </rPr>
          <t>Autor:
Relatório do Estado do Ambiente, 2024, APA.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H7" authorId="0" shapeId="0" xr:uid="{DB8C6711-97A2-4C32-A6D1-1783E7339A4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CALCULADO</t>
        </r>
      </text>
    </comment>
  </commentList>
</comments>
</file>

<file path=xl/sharedStrings.xml><?xml version="1.0" encoding="utf-8"?>
<sst xmlns="http://schemas.openxmlformats.org/spreadsheetml/2006/main" count="1252" uniqueCount="552">
  <si>
    <t xml:space="preserve">Contabilização de emissões GEE </t>
  </si>
  <si>
    <t>Enquadramento</t>
  </si>
  <si>
    <t>Ficha Técnica</t>
  </si>
  <si>
    <t>Ferramenta desenvolvida pela REN. Revisão e otimização pela Faculdade de Engenharia da Universidade do Porto (FEUP).</t>
  </si>
  <si>
    <t>Versão</t>
  </si>
  <si>
    <t>Data</t>
  </si>
  <si>
    <t>Revisões</t>
  </si>
  <si>
    <t>Março de 2025</t>
  </si>
  <si>
    <t>Alteração metodológia nas emissões evitadas e no balanço florestal.</t>
  </si>
  <si>
    <t>Janeiro de 2025</t>
  </si>
  <si>
    <t>Atualização do cálculo das emissões referentes à faixa de servidão.</t>
  </si>
  <si>
    <t>Dezembro de 2023</t>
  </si>
  <si>
    <t>--</t>
  </si>
  <si>
    <t>Contabilização de emissões GEE</t>
  </si>
  <si>
    <t>Instruções</t>
  </si>
  <si>
    <t>Para obtenção de uma estimativa das emissões associadas ao projeto LMAT que se encontra a analisar, será necessário efetuar a recolha de algumas informações.</t>
  </si>
  <si>
    <t>O esquema abaixo representa as etapas do ciclo de vida de uma LMAT.</t>
  </si>
  <si>
    <t>Pode clicar em cada etapa para ler mais sobre esta, incluindo o tipo de emissões e sumidouros aplicáveis assim como a informação a recolher.</t>
  </si>
  <si>
    <t>Só necessitará de preencher o separador seguinte: “Inserção de dados”.</t>
  </si>
  <si>
    <t>Faixa de Servidão: A</t>
  </si>
  <si>
    <t xml:space="preserve"> Emissões Estabelecimento Faixa de Servidão</t>
  </si>
  <si>
    <t>Construção: B</t>
  </si>
  <si>
    <t>Materiais: B1</t>
  </si>
  <si>
    <t>Balanço florestal: D</t>
  </si>
  <si>
    <t xml:space="preserve">Apoios </t>
  </si>
  <si>
    <t xml:space="preserve">Cabos nus </t>
  </si>
  <si>
    <t xml:space="preserve">Cabos de guarda </t>
  </si>
  <si>
    <t xml:space="preserve">Isoladores </t>
  </si>
  <si>
    <t>Betão</t>
  </si>
  <si>
    <t>Armadura</t>
  </si>
  <si>
    <t xml:space="preserve">   Perda de Stock CO2: D1</t>
  </si>
  <si>
    <t>Sequestro Reflorestação na faixa de servidão: D2</t>
  </si>
  <si>
    <t>Perda de Capacidade de Sumidouro: D3</t>
  </si>
  <si>
    <t xml:space="preserve">Transporte até ao local </t>
  </si>
  <si>
    <t>Fase de obra: B2</t>
  </si>
  <si>
    <t>Exploração/Manutenção: C</t>
  </si>
  <si>
    <t>Inspeções: C1</t>
  </si>
  <si>
    <t>Gestão da faixa de servidão: C2</t>
  </si>
  <si>
    <t>Manutenção Geral: C4</t>
  </si>
  <si>
    <t xml:space="preserve">Redução das perdas na RNT: C5 </t>
  </si>
  <si>
    <t>Emissões Evitadas (integração FER): C6</t>
  </si>
  <si>
    <t>Descomissionamento: E</t>
  </si>
  <si>
    <t>Fase de Obra: E1</t>
  </si>
  <si>
    <t>Descrição das etapas, fontes e sumidouros de carbono</t>
  </si>
  <si>
    <t>Estabelecimento da faixa de servidão: A1</t>
  </si>
  <si>
    <t>Balnço Florestal: D</t>
  </si>
  <si>
    <t>Por favor preencha apenas as células a azul.</t>
  </si>
  <si>
    <t xml:space="preserve">Projeto: </t>
  </si>
  <si>
    <t xml:space="preserve">Dados do projeto: </t>
  </si>
  <si>
    <t>Tensão (kV)</t>
  </si>
  <si>
    <t>Extensão Total (km)</t>
  </si>
  <si>
    <t xml:space="preserve">Total de apoios </t>
  </si>
  <si>
    <t>ÁREAS POR CLASSE DE OCUPAÇÃO DO SOLO (ha)</t>
  </si>
  <si>
    <t>Faixa de Servidão</t>
  </si>
  <si>
    <t>Área de reflorestação (ha)</t>
  </si>
  <si>
    <t>2.3.3 Agricultura com espaços naturais e seminaturais</t>
  </si>
  <si>
    <t>3.1.2 Pastagens espontâneas</t>
  </si>
  <si>
    <t>4.1.1.1 SAF de sobreiro</t>
  </si>
  <si>
    <t>4.1.1.2 SAF de azinheira</t>
  </si>
  <si>
    <t>4.1.1.3 SAF de outros carvalhos</t>
  </si>
  <si>
    <t>4.1.1.4 SAF de pinheiro manso (produção fruto)</t>
  </si>
  <si>
    <t>4.1.1.5 SAF de outras espécies</t>
  </si>
  <si>
    <t>5.1.1.1 Florestas de sobreiro (sobreiral)</t>
  </si>
  <si>
    <t>5.1.1.2 Florestas de azinheira (azinhal)</t>
  </si>
  <si>
    <t>5.1.1.3 Florestas de outros carvalhos</t>
  </si>
  <si>
    <t>5.1.1.4 Florestas de castanheiro (castinçal)</t>
  </si>
  <si>
    <t>5.1.1.5 Florestas de eucalipto</t>
  </si>
  <si>
    <t>5.1.1.6 Florestas de espécies invasoras</t>
  </si>
  <si>
    <t>5.1.1.7 Florestas de outras folhosas (inclui medronheiro)</t>
  </si>
  <si>
    <t>5.1.2.1 Florestas de pinheiro bravo</t>
  </si>
  <si>
    <t>5.1.2.2 Florestas de pinheiro manso (produção lenho)</t>
  </si>
  <si>
    <t>5.1.2.3 Florestas de outras resinosas</t>
  </si>
  <si>
    <t>6. Matos</t>
  </si>
  <si>
    <t>7.1.1 Praias, dunas e areais</t>
  </si>
  <si>
    <t>7.1.2 Rocha nua</t>
  </si>
  <si>
    <t>7.1.3 Vegetação esparsa</t>
  </si>
  <si>
    <t>Área de manutenção da faixa (ha)</t>
  </si>
  <si>
    <t>Tempo de vida do projeto (anos)</t>
  </si>
  <si>
    <t>Peso dos apoios  (t)</t>
  </si>
  <si>
    <t>Extensão de cabo condutor (km)</t>
  </si>
  <si>
    <t>Extensão de OPGW (km)</t>
  </si>
  <si>
    <t>Extensão de cabo de guarda (km)</t>
  </si>
  <si>
    <t xml:space="preserve">Número de cadeias de Isoladores </t>
  </si>
  <si>
    <t>Betão (t)</t>
  </si>
  <si>
    <t>Peso da armadura (t)</t>
  </si>
  <si>
    <t xml:space="preserve">Dados PDIRT / Planeamento: </t>
  </si>
  <si>
    <t>Integração da Produção de FER (GWh/ano)</t>
  </si>
  <si>
    <t>Extensão total de linha prevista (km)</t>
  </si>
  <si>
    <t>Extensão Total de Linhas que Integram a Produção de FER (km)</t>
  </si>
  <si>
    <t>Balanço Florestal</t>
  </si>
  <si>
    <t>Ocupação do solo inicial</t>
  </si>
  <si>
    <t>Ocupação do solo final</t>
  </si>
  <si>
    <t>Stock ton CO2e/ha - Ano 0
Biomassa Viva - Árvores</t>
  </si>
  <si>
    <t>Stock ton CO2e/ha - Ano 0
Biomassa Viva - Subcoberto</t>
  </si>
  <si>
    <t>Stock ton CO2e/ha - Ano 0
Biomassa Morta</t>
  </si>
  <si>
    <t>Área de Intervenção (ha)</t>
  </si>
  <si>
    <t>Perda Stock CO2 (t CO2) - Estabelecimento da Servidão</t>
  </si>
  <si>
    <t>Sequestro CO2 Ocupação Inicial  (t CO2/ha/ano)</t>
  </si>
  <si>
    <t>Sequestro CO2 Ocupação Final  (t CO2/ha/ano)</t>
  </si>
  <si>
    <t>Perda Capacidade Sumidouro (t CO2) por Alteração do Uso do Solo - Fase de Exploração</t>
  </si>
  <si>
    <t>Sequestro de CO2 por Reflorestação (t CO2) - Fase de Exploração</t>
  </si>
  <si>
    <t>Perda Stock + Capacidade Sumidouro (t CO2)</t>
  </si>
  <si>
    <t>PRF</t>
  </si>
  <si>
    <t>Total</t>
  </si>
  <si>
    <t>Perda de Stock CO2 no Estabelecimento da Servidão</t>
  </si>
  <si>
    <t>Perda de Capacidade de Sumidouro</t>
  </si>
  <si>
    <t>Sequestro por Reconversão</t>
  </si>
  <si>
    <t xml:space="preserve">Ferramenta de cálculo de emissões </t>
  </si>
  <si>
    <t xml:space="preserve">Fases </t>
  </si>
  <si>
    <t>Fases 2</t>
  </si>
  <si>
    <t>Atividade/Materiais</t>
  </si>
  <si>
    <t>Observações</t>
  </si>
  <si>
    <t>Fator de emissão (FE)</t>
  </si>
  <si>
    <t>Unidade</t>
  </si>
  <si>
    <t>Emissões (t CO2e)</t>
  </si>
  <si>
    <t xml:space="preserve">Fonte: </t>
  </si>
  <si>
    <t>Suporte ao FE</t>
  </si>
  <si>
    <t xml:space="preserve">D </t>
  </si>
  <si>
    <t>Balanço florestal</t>
  </si>
  <si>
    <t>Perda de Stock CO2 - Estabelecimento da Servidão</t>
  </si>
  <si>
    <t>t CO2e</t>
  </si>
  <si>
    <t>IFN-VI (ICNF)</t>
  </si>
  <si>
    <t>A</t>
  </si>
  <si>
    <t xml:space="preserve"> Faixa de Servidão</t>
  </si>
  <si>
    <t>Estabelecimento</t>
  </si>
  <si>
    <t>Territórios artificializados - Emissões Estabelecimento</t>
  </si>
  <si>
    <t>REN</t>
  </si>
  <si>
    <t>Clique aqui</t>
  </si>
  <si>
    <t>Agricultura - Emissões Estabelecimento</t>
  </si>
  <si>
    <t>Pastagens - Emissões Estabelecimento</t>
  </si>
  <si>
    <t>Superfícies Agroflorestais (SAF) - Emissões Estabelecimento</t>
  </si>
  <si>
    <t>Florestas - Emissões Estabelecimento</t>
  </si>
  <si>
    <t>Matos - Emissões Estabelecimento</t>
  </si>
  <si>
    <t>Espaços descobertos ou com pouca vegetação - Emissões Estabelecimento</t>
  </si>
  <si>
    <t>Zonas húmidas - Emissões Estabelecimento</t>
  </si>
  <si>
    <t>Massas de água superficiais - Emissões Estabelecimento</t>
  </si>
  <si>
    <t xml:space="preserve">B </t>
  </si>
  <si>
    <t xml:space="preserve"> Instalação </t>
  </si>
  <si>
    <t>Materiais</t>
  </si>
  <si>
    <t xml:space="preserve"> Apoios </t>
  </si>
  <si>
    <t>t CO2e/t apoio</t>
  </si>
  <si>
    <t xml:space="preserve">DAP: Metalogalva </t>
  </si>
  <si>
    <t xml:space="preserve"> Cabos nus (ACSR)</t>
  </si>
  <si>
    <t>t CO2e/km cabo</t>
  </si>
  <si>
    <t>DAP: ACSR, Midal Cables Turkey</t>
  </si>
  <si>
    <t xml:space="preserve"> Cabos de guarda (OPWG)</t>
  </si>
  <si>
    <t xml:space="preserve">DAP: OPWG </t>
  </si>
  <si>
    <t xml:space="preserve"> Cabos de guarda (aço)</t>
  </si>
  <si>
    <t xml:space="preserve">DAP: ACSR Conductors </t>
  </si>
  <si>
    <t xml:space="preserve"> Cadeias de isoladores </t>
  </si>
  <si>
    <t>t CO2e/cadeia de isoladores</t>
  </si>
  <si>
    <t xml:space="preserve">DAP: Polymeric insulators </t>
  </si>
  <si>
    <t xml:space="preserve"> Betão </t>
  </si>
  <si>
    <t>t CO2e/t betão</t>
  </si>
  <si>
    <t>Relatório de Sustentabilidade SECIL 2023</t>
  </si>
  <si>
    <t xml:space="preserve"> Armadura </t>
  </si>
  <si>
    <t xml:space="preserve">t CO2e/t armadura </t>
  </si>
  <si>
    <t>Literatura</t>
  </si>
  <si>
    <t>Fase de Obra</t>
  </si>
  <si>
    <t xml:space="preserve"> Empreitada </t>
  </si>
  <si>
    <t xml:space="preserve">t CO2e/km </t>
  </si>
  <si>
    <t xml:space="preserve">Prestadores de serviço </t>
  </si>
  <si>
    <t>Dados diretos do PSE</t>
  </si>
  <si>
    <t xml:space="preserve"> CSO </t>
  </si>
  <si>
    <t xml:space="preserve">C </t>
  </si>
  <si>
    <t xml:space="preserve"> Manutenção </t>
  </si>
  <si>
    <t xml:space="preserve">Inspeções </t>
  </si>
  <si>
    <t>Inspeções Visuais Terrestres (anual)</t>
  </si>
  <si>
    <t xml:space="preserve">t CO2eq/apoio/ano </t>
  </si>
  <si>
    <t>Inspeções Tripla Aérea (Lidar + Termografia + Visual) (anual)</t>
  </si>
  <si>
    <t xml:space="preserve">t CO2e/apoio/ano </t>
  </si>
  <si>
    <t>Inspeções ninhos de cegonha (anual)</t>
  </si>
  <si>
    <t>Inspeções Técnicos REN (anual)</t>
  </si>
  <si>
    <t>Avifauna (transferência de ninhos)</t>
  </si>
  <si>
    <t>Anual</t>
  </si>
  <si>
    <t xml:space="preserve">Medições da Resistência de Terra </t>
  </si>
  <si>
    <t>A cada 5 anos</t>
  </si>
  <si>
    <t xml:space="preserve">Lavagem dos isoladores </t>
  </si>
  <si>
    <t>Substituição de cadeias de isoladores</t>
  </si>
  <si>
    <t>Substituição de cadeias (a cada 25 anos)</t>
  </si>
  <si>
    <t>-</t>
  </si>
  <si>
    <t>Tratamento de resíduos de substituição (a cada 25 anos)</t>
  </si>
  <si>
    <t xml:space="preserve"> Exploração </t>
  </si>
  <si>
    <t>Territórios artificializados</t>
  </si>
  <si>
    <t>Agricultura</t>
  </si>
  <si>
    <t>Pastagens</t>
  </si>
  <si>
    <t>Superfícies Agroflorestais (SAF)</t>
  </si>
  <si>
    <t>Florestas</t>
  </si>
  <si>
    <t>Matos</t>
  </si>
  <si>
    <t>Espaços descobertos ou com pouca vegetação</t>
  </si>
  <si>
    <t>Zonas húmidas</t>
  </si>
  <si>
    <t>Massas de água superficiais</t>
  </si>
  <si>
    <t xml:space="preserve">Emissões evitadas </t>
  </si>
  <si>
    <t>_</t>
  </si>
  <si>
    <t xml:space="preserve">PDIRT </t>
  </si>
  <si>
    <t>Perda de Capacidade de Sumidouro CO2 por alteração do uso do solo</t>
  </si>
  <si>
    <t>NIR 2023 (APA)</t>
  </si>
  <si>
    <t>Sequestro de CO2 por Reflorestação</t>
  </si>
  <si>
    <t>E</t>
  </si>
  <si>
    <t xml:space="preserve"> Descomissionamento </t>
  </si>
  <si>
    <t xml:space="preserve">Fase de obra </t>
  </si>
  <si>
    <t>Contabilização de emissões GE</t>
  </si>
  <si>
    <t>Fase do Projeto</t>
  </si>
  <si>
    <t>Balanço de Emissões (t CO2e)</t>
  </si>
  <si>
    <t xml:space="preserve">Abertura </t>
  </si>
  <si>
    <t>A - Estabelecimento da faixa de servidão</t>
  </si>
  <si>
    <t>B - Construção</t>
  </si>
  <si>
    <t>C - Exploração/Manutenção</t>
  </si>
  <si>
    <t>D -Balanço Florestal</t>
  </si>
  <si>
    <t>E - Descomissionamento</t>
  </si>
  <si>
    <t xml:space="preserve"> Cabos nus </t>
  </si>
  <si>
    <t>Inspeções Visuais Terrestres</t>
  </si>
  <si>
    <t xml:space="preserve">Inspeções Tripla Aérea (Lidar + Termografia + Visual) </t>
  </si>
  <si>
    <t xml:space="preserve">Inspeções ninhos de cegonha </t>
  </si>
  <si>
    <t xml:space="preserve">Inspeções Técnicos REN </t>
  </si>
  <si>
    <t xml:space="preserve">Avifauna (transferência de ninhos) </t>
  </si>
  <si>
    <t xml:space="preserve">      Medições da Resistência de Terra </t>
  </si>
  <si>
    <t xml:space="preserve">      Lavagem dos isoladores </t>
  </si>
  <si>
    <t xml:space="preserve">      Substituição de cadeias de isoladores</t>
  </si>
  <si>
    <t xml:space="preserve">Gestão da Faixa de Servidão </t>
  </si>
  <si>
    <t>Perda de Stock CO2 devido ao Estabelecimento Faixa de Servidão</t>
  </si>
  <si>
    <t>Perda de Capacidade de Sumidouro durante a Fase de Exploração</t>
  </si>
  <si>
    <t>Sequestro resultante da Reflorestação na faixa de servidão durante a Fase de Exploração</t>
  </si>
  <si>
    <t>TOTAL (Emissões Evitadas e sumidouro)</t>
  </si>
  <si>
    <t>TOTAL (Emissões do Projeto)</t>
  </si>
  <si>
    <t>TOTAL (Balanço de Emissões)</t>
  </si>
  <si>
    <t>Comentários</t>
  </si>
  <si>
    <t>Cálculo simples do nº de horas anuais.</t>
  </si>
  <si>
    <t>% de tempo em que se estará a produzir energia fotovoltaica.</t>
  </si>
  <si>
    <t>Ano</t>
  </si>
  <si>
    <t>Fator (tCO2 eq/MWh )</t>
  </si>
  <si>
    <t>D. Percentagem de renováveis no mix energético Português (SEN)</t>
  </si>
  <si>
    <t>Energia integrada de origem renovável (MWh)</t>
  </si>
  <si>
    <t>Emissões evitadas (tCO2 eq/ano)</t>
  </si>
  <si>
    <t>---</t>
  </si>
  <si>
    <t>2050+</t>
  </si>
  <si>
    <t xml:space="preserve">Formulário: </t>
  </si>
  <si>
    <t xml:space="preserve">A - Estabeleciemnto da Faixa de Servidão </t>
  </si>
  <si>
    <t xml:space="preserve">B - Construção </t>
  </si>
  <si>
    <t>Fase de obra</t>
  </si>
  <si>
    <t xml:space="preserve">C - Exploração/Manutenção </t>
  </si>
  <si>
    <t>Inspeções</t>
  </si>
  <si>
    <t xml:space="preserve">Visuais Terrestes e Inspeções Tripla Aérea: </t>
  </si>
  <si>
    <t xml:space="preserve">Ninhos de cegonhas + Inspeções Técnicos REN </t>
  </si>
  <si>
    <t xml:space="preserve">Avifauna </t>
  </si>
  <si>
    <t xml:space="preserve">Manutenção geral </t>
  </si>
  <si>
    <t xml:space="preserve">Lavagem de isoladores </t>
  </si>
  <si>
    <t>Emissões Evitadas</t>
  </si>
  <si>
    <t>D - Balanço Florestal</t>
  </si>
  <si>
    <t>Descrição</t>
  </si>
  <si>
    <t>Emissões - Intervenção (kgCO2e/ha)</t>
  </si>
  <si>
    <t>Emissões - Deslocação (kgCO2e/ha)</t>
  </si>
  <si>
    <t>Abate, toragem e rechega</t>
  </si>
  <si>
    <t>Abate de árvores isoladas + Desmontagem de árvores + Decote ou poda de árvores</t>
  </si>
  <si>
    <t>Limpeza de matos</t>
  </si>
  <si>
    <t>Eliminação de cepos</t>
  </si>
  <si>
    <t>Mobilização do solo (Pré-plantação)</t>
  </si>
  <si>
    <t>Plantação</t>
  </si>
  <si>
    <t>Aplicação de herbicidas</t>
  </si>
  <si>
    <t>Tipo de Intervenção</t>
  </si>
  <si>
    <t>ATE (corte raso)</t>
  </si>
  <si>
    <t>ATE (desbaste)</t>
  </si>
  <si>
    <t>AAI+DTA+DTP</t>
  </si>
  <si>
    <t>LMT</t>
  </si>
  <si>
    <t>ECP</t>
  </si>
  <si>
    <t>MBS (PLT)</t>
  </si>
  <si>
    <t>1 - Territórios artificializados</t>
  </si>
  <si>
    <t>1.1 Tecido edificado</t>
  </si>
  <si>
    <t>1.2. Indústria, comércio, e instalações agricola</t>
  </si>
  <si>
    <t>1.3 Infraestruturas</t>
  </si>
  <si>
    <t>1.4 Transportes</t>
  </si>
  <si>
    <t>1.5 Área de extração de inertes, áreas de deposição de resíduos e estaleiros de construção</t>
  </si>
  <si>
    <t>1.5.1 Áreas de extração de inertes</t>
  </si>
  <si>
    <t>1.5.2 Áreas de deposição de resíduos</t>
  </si>
  <si>
    <t>1.6 Equipamentos</t>
  </si>
  <si>
    <t>1.6.1 Equipamentos desportivos (inclui campos de golfe)</t>
  </si>
  <si>
    <t>1.6.2 Equipamentos de lazer e parques de campismo</t>
  </si>
  <si>
    <t>1.7 Parques e jardins</t>
  </si>
  <si>
    <t>2. Agricultura</t>
  </si>
  <si>
    <t>2.1 Culturas temporárias</t>
  </si>
  <si>
    <t>2.1.1 Culturas temporárias de sequeiro e regadio e arrozais</t>
  </si>
  <si>
    <t>2.2  Culturas permanentes</t>
  </si>
  <si>
    <t>2.2.1 Vinhas</t>
  </si>
  <si>
    <t>2.2.2 Pomares (inclui produção de castanha, frutos de casca rija, cereja, etc)</t>
  </si>
  <si>
    <t>2.2.3 Olivais</t>
  </si>
  <si>
    <t>2.3 Áreas agrícolas heterogéneas</t>
  </si>
  <si>
    <t>2.3.1 Culturas temporárias e/ou pastagens melhoradas</t>
  </si>
  <si>
    <t>2.3.2 Mosaicos culturais e parcelares complexos</t>
  </si>
  <si>
    <t>2.4 Agricultura protegida (estufas) e viveiros</t>
  </si>
  <si>
    <t>3. Pastagens</t>
  </si>
  <si>
    <t>3.1 Pastagens</t>
  </si>
  <si>
    <t>3.1.1 Pastagens melhoradas</t>
  </si>
  <si>
    <t>4. Superfícies Agroflorestais (SAF)</t>
  </si>
  <si>
    <t>4.1 Superfícies agroflorestais (SAF)</t>
  </si>
  <si>
    <t>4.1.1 Superfícies agroflorestais (SAF)</t>
  </si>
  <si>
    <t>5. Florestas</t>
  </si>
  <si>
    <t>5.1 Florestas</t>
  </si>
  <si>
    <t>5.1.1 Florestas de folhosas</t>
  </si>
  <si>
    <t>5.1.2 Florestas de resinosas</t>
  </si>
  <si>
    <t>7. Espaços descobertos ou com pouca vegetação</t>
  </si>
  <si>
    <t>7.1 Espaços descobertos ou com pouca
vegetação</t>
  </si>
  <si>
    <t>8. Zonas húmidas</t>
  </si>
  <si>
    <t>9. Massas água superficiais</t>
  </si>
  <si>
    <t>Emissões por intervenção (kgCO2e/ha)</t>
  </si>
  <si>
    <t>Emissões totais s/ deslocação (kgCO2e/ha)</t>
  </si>
  <si>
    <t>Emissões totais c/ deslocação (kgCO2e/ha)</t>
  </si>
  <si>
    <t>Área (ha)</t>
  </si>
  <si>
    <t>Emissões (kgCO2e)</t>
  </si>
  <si>
    <t>Total por AOT</t>
  </si>
  <si>
    <t>Ocultar</t>
  </si>
  <si>
    <t>Metalogalva - Por tonelada de produto</t>
  </si>
  <si>
    <t>Link para o documento</t>
  </si>
  <si>
    <t>ACSR: Midal Cables Turkey - Por metro de cabo</t>
  </si>
  <si>
    <t>OPGW: Prysmian Cabos e Sistemas do Brasil S.A. - Por km de cabo</t>
  </si>
  <si>
    <t>ACSR Conductors: IPROEB S.A. - Por km de cabo</t>
  </si>
  <si>
    <t>Isoladores: Zhengzhou Xianghe Group Electric Equipment Manufacturing Co. LTD - Por cadeia de isoladores</t>
  </si>
  <si>
    <t>Dados gerais</t>
  </si>
  <si>
    <t>Visita de jeep (ir e vir)</t>
  </si>
  <si>
    <t>km</t>
  </si>
  <si>
    <t>Nº apoios</t>
  </si>
  <si>
    <t>Zona</t>
  </si>
  <si>
    <t>Remodelação de 25 em 25 anos</t>
  </si>
  <si>
    <t>Tempo de vida limite (anos)</t>
  </si>
  <si>
    <t>Deslocação (km)</t>
  </si>
  <si>
    <t>Deslocação (horas)</t>
  </si>
  <si>
    <t>Veiculos jeep</t>
  </si>
  <si>
    <t>Linha Aérea tipo (exemplo LAG.PR1)</t>
  </si>
  <si>
    <t>Centro</t>
  </si>
  <si>
    <t>Mitsubishi L200</t>
  </si>
  <si>
    <t>nº apoios</t>
  </si>
  <si>
    <t>Km faixa</t>
  </si>
  <si>
    <t>Km circuito</t>
  </si>
  <si>
    <t>kg CO2</t>
  </si>
  <si>
    <t>Tipologias</t>
  </si>
  <si>
    <t>Ciclos (anos)</t>
  </si>
  <si>
    <t>Nº apoios por semana por equipa</t>
  </si>
  <si>
    <t>Km circ./faixa por ano</t>
  </si>
  <si>
    <t>Nº apoios por ano</t>
  </si>
  <si>
    <t>Kms Ferry entre locais por ano</t>
  </si>
  <si>
    <t>Kms total por tipologia/ano</t>
  </si>
  <si>
    <t>Meio</t>
  </si>
  <si>
    <t>Emissões totais por tipologia/ano com valores da APA</t>
  </si>
  <si>
    <t>Emissões por tipologia/apoio/ano com valores da APA e emissões indiretas</t>
  </si>
  <si>
    <t>Inspecções Visuais Terrestres</t>
  </si>
  <si>
    <t>Medições da Resistência de Terra</t>
  </si>
  <si>
    <t>Inspecções Tripla Aérea (Lidar+Termografia+Visual)</t>
  </si>
  <si>
    <t>Eurocopter AS350 B2 Écureuil</t>
  </si>
  <si>
    <t>Inspecções Ninhos de Cegonha</t>
  </si>
  <si>
    <t>Inspecções Técnicos REN</t>
  </si>
  <si>
    <t>Mudança de ninhos e montagem de dissuasores</t>
  </si>
  <si>
    <t>2xMitsubishi L200</t>
  </si>
  <si>
    <t>Lavagens isoladores</t>
  </si>
  <si>
    <t>Mitsubishi L200+Camião</t>
  </si>
  <si>
    <t>Ligeiros</t>
  </si>
  <si>
    <t>Pesados</t>
  </si>
  <si>
    <t>Combustível</t>
  </si>
  <si>
    <t>FE CO2</t>
  </si>
  <si>
    <t>FE CH4</t>
  </si>
  <si>
    <t>FE N2O</t>
  </si>
  <si>
    <t>(kg/km)</t>
  </si>
  <si>
    <t>Gasóleo</t>
  </si>
  <si>
    <t>kg/L</t>
  </si>
  <si>
    <t>kg/TJ</t>
  </si>
  <si>
    <t>Aviation fuel</t>
  </si>
  <si>
    <t>(Ferramenta da APA)</t>
  </si>
  <si>
    <t>Velocidade média recomendada</t>
  </si>
  <si>
    <t>km/h</t>
  </si>
  <si>
    <t>(Informação técnica: https://www.remotehelicopters.com.au/wp-content/uploads/2014/03/AS350B2.pdf)</t>
  </si>
  <si>
    <t>Consumo de combustível à veloc. Méd.</t>
  </si>
  <si>
    <t>kg/h</t>
  </si>
  <si>
    <t xml:space="preserve">Massa vol. combustível </t>
  </si>
  <si>
    <t>PCI Jet Fuel</t>
  </si>
  <si>
    <t>TJ/L</t>
  </si>
  <si>
    <t>Emissões indiretas - produção de combustível</t>
  </si>
  <si>
    <t>L/km</t>
  </si>
  <si>
    <t>https://www.mitsubishi-motors.pt/content/dam/mitsubishi-motors-pt/images/brochures/L200_Brochure.pdf</t>
  </si>
  <si>
    <t>L por tipologia/ano</t>
  </si>
  <si>
    <t xml:space="preserve"> g CO2 eq/MJ para o gasóleo</t>
  </si>
  <si>
    <t>Ref. estudo EU no relatório</t>
  </si>
  <si>
    <t>Ferramenta APA</t>
  </si>
  <si>
    <t>MJ/kg</t>
  </si>
  <si>
    <t>Emissões indiretas, kg CO2 eq</t>
  </si>
  <si>
    <t>Aumento</t>
  </si>
  <si>
    <t>g CO2 eq/MJ para o kerosene</t>
  </si>
  <si>
    <t>Camião</t>
  </si>
  <si>
    <t>Other 2-axle, 4-Tire Vehicles, km/L</t>
  </si>
  <si>
    <t>GHG protocol cross-sector tool</t>
  </si>
  <si>
    <t>Combination Trucks, km/L</t>
  </si>
  <si>
    <t>Consumo mín gasóleo, L</t>
  </si>
  <si>
    <t>Consumo máx gasóleo, L</t>
  </si>
  <si>
    <t>Emissões indiretas, mín, kg CO2 eq</t>
  </si>
  <si>
    <t>Emissões indiretas, máx, kg CO2 eq</t>
  </si>
  <si>
    <t>Emissões</t>
  </si>
  <si>
    <t>GEE</t>
  </si>
  <si>
    <t>FE (kg/l)</t>
  </si>
  <si>
    <t>Gasolina</t>
  </si>
  <si>
    <t>CO2</t>
  </si>
  <si>
    <t>CH4</t>
  </si>
  <si>
    <t>N2O</t>
  </si>
  <si>
    <t>GWP (kgCO2eq/kg)</t>
  </si>
  <si>
    <t xml:space="preserve">Inventário dos materiais a instalar: </t>
  </si>
  <si>
    <t xml:space="preserve">Inventário dos materiais a descomissionar: </t>
  </si>
  <si>
    <r>
      <t>Gestão da Avifauna (Transferência de ninhos)</t>
    </r>
    <r>
      <rPr>
        <vertAlign val="superscript"/>
        <sz val="11"/>
        <rFont val="Calibri"/>
        <family val="2"/>
        <scheme val="minor"/>
      </rPr>
      <t>1</t>
    </r>
    <r>
      <rPr>
        <sz val="11"/>
        <rFont val="Calibri"/>
        <family val="2"/>
        <scheme val="minor"/>
      </rPr>
      <t>: C3</t>
    </r>
  </si>
  <si>
    <r>
      <rPr>
        <vertAlign val="superscript"/>
        <sz val="11"/>
        <color theme="1"/>
        <rFont val="Calibri"/>
        <family val="2"/>
        <scheme val="minor"/>
      </rPr>
      <t>1</t>
    </r>
    <r>
      <rPr>
        <sz val="11"/>
        <color theme="1"/>
        <rFont val="Calibri"/>
        <family val="2"/>
        <scheme val="minor"/>
      </rPr>
      <t xml:space="preserve"> Quando aplicável</t>
    </r>
  </si>
  <si>
    <r>
      <rPr>
        <vertAlign val="superscript"/>
        <sz val="11"/>
        <color theme="1"/>
        <rFont val="Calibri"/>
        <family val="2"/>
        <scheme val="minor"/>
      </rPr>
      <t>2</t>
    </r>
    <r>
      <rPr>
        <sz val="11"/>
        <color theme="1"/>
        <rFont val="Calibri"/>
        <family val="2"/>
        <scheme val="minor"/>
      </rPr>
      <t xml:space="preserve"> Balanço de GEE que decorrem da perda e/ou ganho de capacidade de sequestro de carbono. </t>
    </r>
  </si>
  <si>
    <t xml:space="preserve">Contabilização de emissões GEE - Sustentabilidade Operacional </t>
  </si>
  <si>
    <t>Categoria</t>
  </si>
  <si>
    <t>Lifetime Estimado</t>
  </si>
  <si>
    <r>
      <t>Fase de fabrico (kg CO</t>
    </r>
    <r>
      <rPr>
        <vertAlign val="subscript"/>
        <sz val="12"/>
        <rFont val="Century Gothic"/>
        <family val="2"/>
      </rPr>
      <t>2</t>
    </r>
    <r>
      <rPr>
        <sz val="12"/>
        <rFont val="Century Gothic"/>
        <family val="2"/>
      </rPr>
      <t>)</t>
    </r>
  </si>
  <si>
    <r>
      <t>Fase de distribuição (kg CO</t>
    </r>
    <r>
      <rPr>
        <vertAlign val="subscript"/>
        <sz val="12"/>
        <rFont val="Century Gothic"/>
        <family val="2"/>
      </rPr>
      <t>2</t>
    </r>
    <r>
      <rPr>
        <sz val="12"/>
        <rFont val="Century Gothic"/>
        <family val="2"/>
      </rPr>
      <t>)</t>
    </r>
  </si>
  <si>
    <r>
      <t>Fase de instalação (kg CO</t>
    </r>
    <r>
      <rPr>
        <vertAlign val="subscript"/>
        <sz val="12"/>
        <rFont val="Century Gothic"/>
        <family val="2"/>
      </rPr>
      <t>2</t>
    </r>
    <r>
      <rPr>
        <sz val="12"/>
        <rFont val="Century Gothic"/>
        <family val="2"/>
      </rPr>
      <t>)</t>
    </r>
  </si>
  <si>
    <r>
      <t>Fase de uso (kg CO</t>
    </r>
    <r>
      <rPr>
        <vertAlign val="subscript"/>
        <sz val="12"/>
        <rFont val="Century Gothic"/>
        <family val="2"/>
      </rPr>
      <t>2</t>
    </r>
    <r>
      <rPr>
        <sz val="12"/>
        <rFont val="Century Gothic"/>
        <family val="2"/>
      </rPr>
      <t>)</t>
    </r>
  </si>
  <si>
    <r>
      <t>Fim de vida (kg CO</t>
    </r>
    <r>
      <rPr>
        <vertAlign val="subscript"/>
        <sz val="12"/>
        <rFont val="Century Gothic"/>
        <family val="2"/>
      </rPr>
      <t>2</t>
    </r>
    <r>
      <rPr>
        <sz val="12"/>
        <rFont val="Century Gothic"/>
        <family val="2"/>
      </rPr>
      <t>)</t>
    </r>
  </si>
  <si>
    <r>
      <t>Pegada carbónica total (t CO</t>
    </r>
    <r>
      <rPr>
        <vertAlign val="subscript"/>
        <sz val="12"/>
        <rFont val="Century Gothic"/>
        <family val="2"/>
      </rPr>
      <t>2</t>
    </r>
    <r>
      <rPr>
        <sz val="12"/>
        <rFont val="Century Gothic"/>
        <family val="2"/>
      </rPr>
      <t>)</t>
    </r>
  </si>
  <si>
    <t>Link</t>
  </si>
  <si>
    <t>Pressupostos</t>
  </si>
  <si>
    <t>Autotransformador (óleo mineral)</t>
  </si>
  <si>
    <t>35 Anos</t>
  </si>
  <si>
    <t>Transformador SIEMENS</t>
  </si>
  <si>
    <t>DAP da siemens não disponível online</t>
  </si>
  <si>
    <t>Autotransformer</t>
  </si>
  <si>
    <t>Seccionador</t>
  </si>
  <si>
    <t>20 anos</t>
  </si>
  <si>
    <t>Disconnector 420 kW</t>
  </si>
  <si>
    <t>Assumiu-se a mesma DAP para todo o tipo de seccionadores</t>
  </si>
  <si>
    <t>Disconnector</t>
  </si>
  <si>
    <t>Seccionador terra</t>
  </si>
  <si>
    <t>Disconnect Switch-Disconnecter and</t>
  </si>
  <si>
    <t>Transformador de potência</t>
  </si>
  <si>
    <t>5.98E+05</t>
  </si>
  <si>
    <t>7.80E+03</t>
  </si>
  <si>
    <t xml:space="preserve">1.59E+03 </t>
  </si>
  <si>
    <t xml:space="preserve">Uso: 3.30E+07 </t>
  </si>
  <si>
    <t>Fim de Vida: 1.77E+04</t>
  </si>
  <si>
    <t>Transformador de auxiliar</t>
  </si>
  <si>
    <t>35 anos</t>
  </si>
  <si>
    <t>Distribution Transformer – 75kVA</t>
  </si>
  <si>
    <t>Auxiliar Distribution Transformer</t>
  </si>
  <si>
    <t>Transformador de corrente</t>
  </si>
  <si>
    <t>Jiangsu Sieyuan Hertz Instrument Transformer</t>
  </si>
  <si>
    <t>Current Transformer</t>
  </si>
  <si>
    <t>Transformador de tensão capacitivo</t>
  </si>
  <si>
    <t>Capacitor voltage transformer</t>
  </si>
  <si>
    <t>Capacitive Transformer</t>
  </si>
  <si>
    <t>Transformador de tensão indutivo</t>
  </si>
  <si>
    <t>Instrument Transformer-Inductive</t>
  </si>
  <si>
    <t>Inductive Transformer</t>
  </si>
  <si>
    <t>Disjuntor live tank</t>
  </si>
  <si>
    <t>20 Anos</t>
  </si>
  <si>
    <t>Circuit Breaker 550 kV</t>
  </si>
  <si>
    <t>Live Tank Circuit Breaker</t>
  </si>
  <si>
    <t>Descarregador de Sobretensão</t>
  </si>
  <si>
    <t>25 Anos</t>
  </si>
  <si>
    <t>Descarregador de sobretensão</t>
  </si>
  <si>
    <t>DAP da siemens fornecida, não disponível online.</t>
  </si>
  <si>
    <t>Surge Arrester</t>
  </si>
  <si>
    <t>Isolador</t>
  </si>
  <si>
    <t xml:space="preserve"> Insulators</t>
  </si>
  <si>
    <t>Insulator</t>
  </si>
  <si>
    <t>Sistemas de comando e proteção - Telecontrolo</t>
  </si>
  <si>
    <t>10 Anos</t>
  </si>
  <si>
    <t>COL Group telecontrol</t>
  </si>
  <si>
    <t>Command and Protection Systems - Telecontrol</t>
  </si>
  <si>
    <t>Bateria</t>
  </si>
  <si>
    <t>bateria lead-acid</t>
  </si>
  <si>
    <t>Battery</t>
  </si>
  <si>
    <t xml:space="preserve">Armários </t>
  </si>
  <si>
    <t>Medium-voltage gas-insulated Ring Main Unit Safe Air-V</t>
  </si>
  <si>
    <t>Cabinets</t>
  </si>
  <si>
    <t>Secil Relatório anual 2023</t>
  </si>
  <si>
    <t>Concrete</t>
  </si>
  <si>
    <t>Estruturas metálicas</t>
  </si>
  <si>
    <t>63 anos</t>
  </si>
  <si>
    <t>DAP Metalogalva</t>
  </si>
  <si>
    <t>Metal Structures</t>
  </si>
  <si>
    <t>Cabo XV5G*2,5mm^2</t>
  </si>
  <si>
    <t>30 anos</t>
  </si>
  <si>
    <t>Aceflex Pure E Path 5G2,5mm² EPD</t>
  </si>
  <si>
    <t>Cables</t>
  </si>
  <si>
    <t>Cabo XV 3G*2,5mm^2</t>
  </si>
  <si>
    <t>Aceflex Pure E Path 3G2,5mm²</t>
  </si>
  <si>
    <t xml:space="preserve">Cabo XV 3G*1,5mm^2 </t>
  </si>
  <si>
    <t>0.3486</t>
  </si>
  <si>
    <t>0.09146</t>
  </si>
  <si>
    <t>EXQ Pure 3G1,5</t>
  </si>
  <si>
    <t>Cabos terra 150</t>
  </si>
  <si>
    <t>40 anos</t>
  </si>
  <si>
    <t>Cabo terra</t>
  </si>
  <si>
    <t>Cabo VHV 2 x 2,5 mm^2</t>
  </si>
  <si>
    <t>Low voltage, multi-core cables of the</t>
  </si>
  <si>
    <t>Cabo VHV 2 x 4 mm^2</t>
  </si>
  <si>
    <t>Cabo VHV 2 x 6 mm^2</t>
  </si>
  <si>
    <t>Cabo VHV 2 x 10 mm^2</t>
  </si>
  <si>
    <t>Cabo VHV 4 x 2,5 mm^2</t>
  </si>
  <si>
    <t>Cabo VHV 4 x 4mm^2</t>
  </si>
  <si>
    <t>Cabo VHV 4 x 6 mm^2</t>
  </si>
  <si>
    <t xml:space="preserve">Cabo VHV 4 x 10 mm^2 </t>
  </si>
  <si>
    <t>Cabo VHV 4 X 16 mm^2</t>
  </si>
  <si>
    <t>Cabo VHV 7 X 2,5 mm^2</t>
  </si>
  <si>
    <t>Cabo VHV 14 X 2,5 mm^2</t>
  </si>
  <si>
    <t>Cabo VHV 19 X 2,5 mm^2 (24 x 2,5 mm^2; 37 x 2,5 mm^2 )</t>
  </si>
  <si>
    <t>Cabo VHV 1  x 95</t>
  </si>
  <si>
    <t>Cabo VHV 1 x 120</t>
  </si>
  <si>
    <t>Cabo VHV 3 x 50 + 25 mm^2</t>
  </si>
  <si>
    <t>AXALJ-TT E Path 3x50/25 ALCL 12kV</t>
  </si>
  <si>
    <t>Total por fase</t>
  </si>
  <si>
    <t>Limpeza de terrenos anexos: C5</t>
  </si>
  <si>
    <t>Disjuntor: C2</t>
  </si>
  <si>
    <t>Termografia: C4</t>
  </si>
  <si>
    <t>Manutenção de painel: C1</t>
  </si>
  <si>
    <t>Sistemas de comando e controlo de proteção: C3</t>
  </si>
  <si>
    <t>Limpeza de infestantes: C6</t>
  </si>
  <si>
    <t xml:space="preserve">Dados do projeto a descomissionar: </t>
  </si>
  <si>
    <t>Infraestruturas Lineares</t>
  </si>
  <si>
    <t>Subestações/Posto de Corte</t>
  </si>
  <si>
    <t>Para obtenção de uma estimativa das emissões associadas ao projeto da subestação que se encontra a analisar, será necessário efetuar a recolha de algumas informações.</t>
  </si>
  <si>
    <t>O esquema abaixo representa as etapas do ciclo de vida de uma subestação.</t>
  </si>
  <si>
    <t>Área de implantação: A</t>
  </si>
  <si>
    <t>Preparação do terreno: A1</t>
  </si>
  <si>
    <t>Transporte até ao local: B1</t>
  </si>
  <si>
    <t>Sequestro Reflorestação na Área de implantação: D2</t>
  </si>
  <si>
    <t>Materiais: B2</t>
  </si>
  <si>
    <t>Equipamentos: B3</t>
  </si>
  <si>
    <t>Cabos</t>
  </si>
  <si>
    <t>Disjuntor</t>
  </si>
  <si>
    <t>Transformador  de corrente</t>
  </si>
  <si>
    <t>Autotransformador</t>
  </si>
  <si>
    <t>Transformador indutivo</t>
  </si>
  <si>
    <t>Transformador capacitivo</t>
  </si>
  <si>
    <t>Transformadores de serviços auxiliares</t>
  </si>
  <si>
    <t>Seccionadores</t>
  </si>
  <si>
    <t>Sistemas de proteção</t>
  </si>
  <si>
    <t>Sistemas de controlo</t>
  </si>
  <si>
    <t>Isoladores</t>
  </si>
  <si>
    <t>Baterias</t>
  </si>
  <si>
    <t>Fase de obra: B4</t>
  </si>
  <si>
    <t>Inspeção visual: C7</t>
  </si>
  <si>
    <t>Descrição das etapas</t>
  </si>
  <si>
    <t>Área de implantação: A1</t>
  </si>
  <si>
    <t>Balanço Florestal: D</t>
  </si>
  <si>
    <t>Horas ano comum</t>
  </si>
  <si>
    <t>Solar</t>
  </si>
  <si>
    <t>Eólica</t>
  </si>
  <si>
    <t>Integração de FER (GW)</t>
  </si>
  <si>
    <t>Fator eólica</t>
  </si>
  <si>
    <t>Fator fotovoltaica</t>
  </si>
  <si>
    <t>Integração de FER anual (GW)</t>
  </si>
  <si>
    <t>% de tempo em que se estará a produzir energia eólica.</t>
  </si>
  <si>
    <t>Integração de FER proveniente de solar</t>
  </si>
  <si>
    <t>Integração de FER proveniente de eólica</t>
  </si>
  <si>
    <t>Dados</t>
  </si>
  <si>
    <t>Linha Abrantes - Zona de Anadia, a 400 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</si>
</sst>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-* #,##0.00_-;\-* #,##0.00_-;_-* &quot;-&quot;??_-;_-@_-"/>
    <numFmt numFmtId="164" formatCode="_-* #,##0.00\ _€_-;\-* #,##0.00\ _€_-;_-* &quot;-&quot;??\ _€_-;_-@"/>
    <numFmt numFmtId="165" formatCode="0.000"/>
    <numFmt numFmtId="166" formatCode="#,##0.0"/>
    <numFmt numFmtId="167" formatCode="0E+00"/>
    <numFmt numFmtId="168" formatCode="0.0E+00"/>
    <numFmt numFmtId="169" formatCode="0.0%"/>
    <numFmt numFmtId="170" formatCode="#,##0.000"/>
    <numFmt numFmtId="171" formatCode="0.0"/>
    <numFmt numFmtId="172" formatCode="0.0000"/>
  </numFmts>
  <fonts count="72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Arial"/>
      <family val="2"/>
    </font>
    <font>
      <u/>
      <sz val="11"/>
      <color theme="1"/>
      <name val="Calibri"/>
      <family val="2"/>
      <scheme val="minor"/>
    </font>
    <font>
      <sz val="11"/>
      <color theme="5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1"/>
      <color theme="0"/>
      <name val="Calibri"/>
      <family val="2"/>
      <scheme val="minor"/>
    </font>
    <font>
      <b/>
      <sz val="13"/>
      <color theme="0"/>
      <name val="Calibri"/>
      <family val="2"/>
      <scheme val="minor"/>
    </font>
    <font>
      <b/>
      <sz val="11"/>
      <color theme="0"/>
      <name val="Calibri"/>
      <family val="2"/>
    </font>
    <font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0"/>
      <color rgb="FF000000"/>
      <name val="Times New Roman"/>
      <family val="1"/>
    </font>
    <font>
      <sz val="12"/>
      <color rgb="FF000000"/>
      <name val="Times New Roman"/>
      <family val="1"/>
    </font>
    <font>
      <b/>
      <sz val="9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trike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0"/>
      <color rgb="FF000000"/>
      <name val="Times New Roman"/>
      <charset val="204"/>
    </font>
    <font>
      <b/>
      <sz val="8"/>
      <name val="Calibri"/>
    </font>
    <font>
      <sz val="8"/>
      <name val="Calibri"/>
    </font>
    <font>
      <b/>
      <sz val="14"/>
      <name val="Calibri"/>
      <family val="2"/>
    </font>
    <font>
      <b/>
      <sz val="14"/>
      <color rgb="FFFFFFFF"/>
      <name val="Calibri"/>
      <family val="2"/>
    </font>
    <font>
      <sz val="14"/>
      <color rgb="FFFFFFFF"/>
      <name val="Calibri"/>
      <family val="2"/>
    </font>
    <font>
      <sz val="14"/>
      <color rgb="FF000000"/>
      <name val="Calibri"/>
      <family val="2"/>
    </font>
    <font>
      <sz val="10"/>
      <color rgb="FFFF00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9"/>
      <color indexed="81"/>
      <name val="Tahoma"/>
      <charset val="1"/>
    </font>
    <font>
      <b/>
      <sz val="11"/>
      <name val="Calibri"/>
      <scheme val="minor"/>
    </font>
    <font>
      <b/>
      <sz val="9"/>
      <color indexed="81"/>
      <name val="Tahoma"/>
      <charset val="1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2"/>
      <name val="Century Gothic"/>
      <family val="2"/>
    </font>
    <font>
      <sz val="12"/>
      <color theme="0"/>
      <name val="Calibri"/>
      <family val="2"/>
      <scheme val="minor"/>
    </font>
    <font>
      <sz val="12"/>
      <name val="Century Gothic"/>
      <family val="2"/>
    </font>
    <font>
      <vertAlign val="subscript"/>
      <sz val="12"/>
      <name val="Century Gothic"/>
      <family val="2"/>
    </font>
    <font>
      <sz val="12"/>
      <name val="Century Gothic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entury Gothic"/>
      <family val="2"/>
    </font>
    <font>
      <sz val="14"/>
      <name val="Century Gothic"/>
      <family val="2"/>
    </font>
    <font>
      <sz val="12"/>
      <color theme="10"/>
      <name val="Calibri"/>
      <family val="2"/>
      <scheme val="minor"/>
    </font>
    <font>
      <u/>
      <sz val="9"/>
      <color theme="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00BBEC"/>
        <bgColor indexed="64"/>
      </patternFill>
    </fill>
    <fill>
      <patternFill patternType="solid">
        <fgColor rgb="FFF1F5E3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92D05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DECFFD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1F497D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 style="medium">
        <color theme="4" tint="-0.499984740745262"/>
      </left>
      <right/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4" tint="-0.499984740745262"/>
      </bottom>
      <diagonal/>
    </border>
    <border>
      <left style="medium">
        <color indexed="64"/>
      </left>
      <right style="medium">
        <color indexed="64"/>
      </right>
      <top style="medium">
        <color theme="4" tint="-0.499984740745262"/>
      </top>
      <bottom style="thin">
        <color theme="4" tint="-0.499984740745262"/>
      </bottom>
      <diagonal/>
    </border>
    <border>
      <left style="medium">
        <color indexed="64"/>
      </left>
      <right style="medium">
        <color indexed="64"/>
      </right>
      <top style="medium">
        <color theme="4" tint="-0.499984740745262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/>
      <right style="medium">
        <color rgb="FFB4C6E7"/>
      </right>
      <top style="medium">
        <color rgb="FFB4C6E7"/>
      </top>
      <bottom style="thick">
        <color rgb="FF8EAADB"/>
      </bottom>
      <diagonal/>
    </border>
    <border>
      <left style="medium">
        <color rgb="FFB4C6E7"/>
      </left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/>
      <bottom/>
      <diagonal/>
    </border>
    <border>
      <left/>
      <right style="medium">
        <color rgb="FFB4C6E7"/>
      </right>
      <top/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 style="thick">
        <color rgb="FF8EAADB"/>
      </top>
      <bottom style="medium">
        <color rgb="FFB4C6E7"/>
      </bottom>
      <diagonal/>
    </border>
    <border>
      <left style="medium">
        <color rgb="FFB4C6E7"/>
      </left>
      <right style="medium">
        <color rgb="FFB4C6E7"/>
      </right>
      <top style="medium">
        <color rgb="FFB4C6E7"/>
      </top>
      <bottom style="medium">
        <color rgb="FFB4C6E7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5" fillId="0" borderId="0"/>
    <xf numFmtId="0" fontId="8" fillId="0" borderId="0"/>
    <xf numFmtId="0" fontId="10" fillId="0" borderId="0"/>
    <xf numFmtId="0" fontId="39" fillId="0" borderId="0"/>
    <xf numFmtId="0" fontId="8" fillId="0" borderId="0" applyNumberFormat="0" applyFill="0" applyBorder="0" applyAlignment="0" applyProtection="0"/>
    <xf numFmtId="43" fontId="10" fillId="0" borderId="0" applyFont="0" applyFill="0" applyBorder="0" applyAlignment="0" applyProtection="0"/>
    <xf numFmtId="0" fontId="39" fillId="0" borderId="0"/>
    <xf numFmtId="9" fontId="10" fillId="0" borderId="0" applyFont="0" applyFill="0" applyBorder="0" applyAlignment="0" applyProtection="0"/>
  </cellStyleXfs>
  <cellXfs count="604">
    <xf numFmtId="0" fontId="0" fillId="0" borderId="0" xfId="0"/>
    <xf numFmtId="0" fontId="6" fillId="0" borderId="0" xfId="0" applyFont="1" applyAlignment="1">
      <alignment horizontal="left" vertical="center"/>
    </xf>
    <xf numFmtId="0" fontId="0" fillId="0" borderId="0" xfId="0" applyAlignment="1">
      <alignment vertical="top" wrapText="1"/>
    </xf>
    <xf numFmtId="0" fontId="0" fillId="8" borderId="0" xfId="0" applyFill="1"/>
    <xf numFmtId="4" fontId="2" fillId="0" borderId="0" xfId="0" applyNumberFormat="1" applyFont="1"/>
    <xf numFmtId="4" fontId="12" fillId="4" borderId="1" xfId="0" applyNumberFormat="1" applyFont="1" applyFill="1" applyBorder="1" applyAlignment="1">
      <alignment horizontal="center" wrapText="1"/>
    </xf>
    <xf numFmtId="4" fontId="11" fillId="0" borderId="0" xfId="0" applyNumberFormat="1" applyFont="1" applyAlignment="1">
      <alignment wrapText="1"/>
    </xf>
    <xf numFmtId="0" fontId="15" fillId="11" borderId="0" xfId="0" applyFont="1" applyFill="1" applyAlignment="1">
      <alignment horizontal="center" vertical="center"/>
    </xf>
    <xf numFmtId="0" fontId="9" fillId="0" borderId="0" xfId="0" applyFont="1" applyAlignment="1">
      <alignment vertical="center" wrapText="1"/>
    </xf>
    <xf numFmtId="1" fontId="0" fillId="0" borderId="0" xfId="0" applyNumberFormat="1"/>
    <xf numFmtId="0" fontId="15" fillId="11" borderId="17" xfId="0" applyFont="1" applyFill="1" applyBorder="1" applyAlignment="1">
      <alignment horizontal="center" vertical="center"/>
    </xf>
    <xf numFmtId="0" fontId="15" fillId="11" borderId="18" xfId="0" applyFont="1" applyFill="1" applyBorder="1" applyAlignment="1">
      <alignment horizontal="center" vertical="center"/>
    </xf>
    <xf numFmtId="0" fontId="14" fillId="8" borderId="0" xfId="0" applyFont="1" applyFill="1" applyAlignment="1">
      <alignment horizontal="center" vertical="center"/>
    </xf>
    <xf numFmtId="164" fontId="16" fillId="13" borderId="0" xfId="0" applyNumberFormat="1" applyFont="1" applyFill="1" applyAlignment="1">
      <alignment horizontal="center" vertical="center"/>
    </xf>
    <xf numFmtId="1" fontId="17" fillId="0" borderId="0" xfId="0" applyNumberFormat="1" applyFont="1"/>
    <xf numFmtId="1" fontId="0" fillId="8" borderId="16" xfId="0" applyNumberForma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64" fontId="16" fillId="0" borderId="0" xfId="0" applyNumberFormat="1" applyFont="1" applyAlignment="1">
      <alignment horizontal="center" vertical="center"/>
    </xf>
    <xf numFmtId="1" fontId="17" fillId="0" borderId="0" xfId="0" applyNumberFormat="1" applyFont="1" applyAlignment="1">
      <alignment horizontal="center"/>
    </xf>
    <xf numFmtId="1" fontId="17" fillId="0" borderId="0" xfId="0" applyNumberFormat="1" applyFont="1" applyAlignment="1">
      <alignment horizontal="center" vertical="center"/>
    </xf>
    <xf numFmtId="0" fontId="0" fillId="8" borderId="19" xfId="0" applyFill="1" applyBorder="1" applyAlignment="1">
      <alignment horizontal="center" vertical="center"/>
    </xf>
    <xf numFmtId="0" fontId="0" fillId="12" borderId="19" xfId="0" applyFill="1" applyBorder="1" applyAlignment="1">
      <alignment horizontal="center" vertical="center"/>
    </xf>
    <xf numFmtId="1" fontId="0" fillId="8" borderId="20" xfId="0" applyNumberFormat="1" applyFill="1" applyBorder="1" applyAlignment="1">
      <alignment horizontal="center" vertical="center"/>
    </xf>
    <xf numFmtId="1" fontId="0" fillId="12" borderId="21" xfId="0" applyNumberFormat="1" applyFill="1" applyBorder="1" applyAlignment="1">
      <alignment horizontal="center" vertical="center"/>
    </xf>
    <xf numFmtId="1" fontId="0" fillId="8" borderId="21" xfId="0" applyNumberFormat="1" applyFill="1" applyBorder="1" applyAlignment="1">
      <alignment horizontal="center" vertical="center"/>
    </xf>
    <xf numFmtId="1" fontId="0" fillId="12" borderId="21" xfId="0" applyNumberFormat="1" applyFill="1" applyBorder="1" applyAlignment="1">
      <alignment horizontal="center" vertical="center" wrapText="1"/>
    </xf>
    <xf numFmtId="1" fontId="0" fillId="8" borderId="21" xfId="0" applyNumberFormat="1" applyFill="1" applyBorder="1" applyAlignment="1">
      <alignment horizontal="center" vertical="center" wrapText="1"/>
    </xf>
    <xf numFmtId="1" fontId="0" fillId="8" borderId="22" xfId="0" applyNumberFormat="1" applyFill="1" applyBorder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/>
    <xf numFmtId="11" fontId="0" fillId="8" borderId="0" xfId="0" applyNumberFormat="1" applyFill="1"/>
    <xf numFmtId="0" fontId="18" fillId="8" borderId="0" xfId="0" applyFont="1" applyFill="1"/>
    <xf numFmtId="0" fontId="8" fillId="8" borderId="0" xfId="2" applyFill="1"/>
    <xf numFmtId="4" fontId="8" fillId="8" borderId="1" xfId="2" applyNumberFormat="1" applyFill="1" applyBorder="1" applyAlignment="1">
      <alignment horizontal="center" vertical="center" wrapText="1"/>
    </xf>
    <xf numFmtId="0" fontId="8" fillId="0" borderId="0" xfId="2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19" fillId="4" borderId="1" xfId="0" applyFont="1" applyFill="1" applyBorder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" fontId="0" fillId="4" borderId="1" xfId="0" applyNumberFormat="1" applyFill="1" applyBorder="1"/>
    <xf numFmtId="165" fontId="0" fillId="4" borderId="1" xfId="0" applyNumberFormat="1" applyFill="1" applyBorder="1"/>
    <xf numFmtId="0" fontId="20" fillId="4" borderId="1" xfId="0" applyFont="1" applyFill="1" applyBorder="1" applyAlignment="1">
      <alignment horizontal="center" vertical="center"/>
    </xf>
    <xf numFmtId="11" fontId="20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1" fontId="0" fillId="0" borderId="0" xfId="0" applyNumberFormat="1" applyAlignment="1">
      <alignment horizontal="center"/>
    </xf>
    <xf numFmtId="0" fontId="2" fillId="4" borderId="1" xfId="0" applyFont="1" applyFill="1" applyBorder="1"/>
    <xf numFmtId="0" fontId="0" fillId="4" borderId="0" xfId="0" applyFill="1" applyAlignment="1">
      <alignment horizontal="center"/>
    </xf>
    <xf numFmtId="0" fontId="2" fillId="4" borderId="1" xfId="0" applyFont="1" applyFill="1" applyBorder="1" applyAlignment="1">
      <alignment horizontal="left"/>
    </xf>
    <xf numFmtId="0" fontId="0" fillId="4" borderId="0" xfId="0" applyFill="1" applyAlignment="1">
      <alignment horizontal="left" vertical="center" wrapText="1"/>
    </xf>
    <xf numFmtId="1" fontId="0" fillId="4" borderId="0" xfId="0" applyNumberFormat="1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4" borderId="0" xfId="0" applyFill="1" applyAlignment="1">
      <alignment horizontal="left"/>
    </xf>
    <xf numFmtId="0" fontId="21" fillId="4" borderId="0" xfId="0" applyFont="1" applyFill="1" applyAlignment="1">
      <alignment horizontal="left"/>
    </xf>
    <xf numFmtId="1" fontId="0" fillId="4" borderId="0" xfId="0" applyNumberFormat="1" applyFill="1"/>
    <xf numFmtId="0" fontId="21" fillId="4" borderId="0" xfId="0" applyFont="1" applyFill="1"/>
    <xf numFmtId="11" fontId="0" fillId="4" borderId="0" xfId="0" applyNumberFormat="1" applyFill="1" applyAlignment="1">
      <alignment horizont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right" vertical="center"/>
    </xf>
    <xf numFmtId="165" fontId="0" fillId="4" borderId="0" xfId="0" applyNumberFormat="1" applyFill="1" applyAlignment="1">
      <alignment horizontal="center"/>
    </xf>
    <xf numFmtId="4" fontId="0" fillId="0" borderId="0" xfId="0" applyNumberFormat="1" applyAlignment="1">
      <alignment vertical="center"/>
    </xf>
    <xf numFmtId="3" fontId="0" fillId="8" borderId="1" xfId="0" applyNumberFormat="1" applyFill="1" applyBorder="1" applyAlignment="1">
      <alignment horizontal="center" vertical="center" wrapText="1"/>
    </xf>
    <xf numFmtId="4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/>
    </xf>
    <xf numFmtId="4" fontId="0" fillId="8" borderId="1" xfId="0" applyNumberFormat="1" applyFill="1" applyBorder="1" applyAlignment="1">
      <alignment horizontal="center" vertical="center" wrapText="1"/>
    </xf>
    <xf numFmtId="166" fontId="0" fillId="8" borderId="1" xfId="0" applyNumberFormat="1" applyFill="1" applyBorder="1" applyAlignment="1">
      <alignment horizontal="center" vertical="center" wrapText="1"/>
    </xf>
    <xf numFmtId="166" fontId="0" fillId="8" borderId="1" xfId="0" applyNumberFormat="1" applyFill="1" applyBorder="1" applyAlignment="1">
      <alignment horizontal="center" vertical="center"/>
    </xf>
    <xf numFmtId="167" fontId="0" fillId="8" borderId="1" xfId="0" applyNumberFormat="1" applyFill="1" applyBorder="1" applyAlignment="1">
      <alignment horizontal="center" vertical="center"/>
    </xf>
    <xf numFmtId="3" fontId="0" fillId="0" borderId="0" xfId="0" applyNumberFormat="1" applyAlignment="1">
      <alignment vertical="center"/>
    </xf>
    <xf numFmtId="3" fontId="0" fillId="0" borderId="0" xfId="0" applyNumberFormat="1" applyAlignment="1">
      <alignment horizontal="center" vertical="center"/>
    </xf>
    <xf numFmtId="168" fontId="0" fillId="8" borderId="1" xfId="0" applyNumberFormat="1" applyFill="1" applyBorder="1" applyAlignment="1">
      <alignment horizontal="center" vertical="center"/>
    </xf>
    <xf numFmtId="4" fontId="0" fillId="0" borderId="0" xfId="0" applyNumberFormat="1"/>
    <xf numFmtId="4" fontId="0" fillId="0" borderId="0" xfId="0" applyNumberFormat="1" applyAlignment="1">
      <alignment horizontal="center" wrapText="1"/>
    </xf>
    <xf numFmtId="0" fontId="29" fillId="4" borderId="1" xfId="0" applyFont="1" applyFill="1" applyBorder="1" applyAlignment="1">
      <alignment horizontal="center" vertical="center" wrapText="1"/>
    </xf>
    <xf numFmtId="0" fontId="24" fillId="4" borderId="1" xfId="0" applyFont="1" applyFill="1" applyBorder="1" applyAlignment="1">
      <alignment horizontal="justify" vertical="center"/>
    </xf>
    <xf numFmtId="11" fontId="24" fillId="4" borderId="1" xfId="0" applyNumberFormat="1" applyFont="1" applyFill="1" applyBorder="1" applyAlignment="1">
      <alignment horizontal="justify" vertical="center"/>
    </xf>
    <xf numFmtId="169" fontId="24" fillId="4" borderId="1" xfId="0" applyNumberFormat="1" applyFont="1" applyFill="1" applyBorder="1" applyAlignment="1">
      <alignment horizontal="justify" vertical="center"/>
    </xf>
    <xf numFmtId="0" fontId="24" fillId="9" borderId="1" xfId="0" applyFont="1" applyFill="1" applyBorder="1" applyAlignment="1">
      <alignment horizontal="justify" vertical="center"/>
    </xf>
    <xf numFmtId="169" fontId="24" fillId="9" borderId="1" xfId="0" applyNumberFormat="1" applyFont="1" applyFill="1" applyBorder="1" applyAlignment="1">
      <alignment horizontal="justify" vertical="center"/>
    </xf>
    <xf numFmtId="2" fontId="0" fillId="0" borderId="0" xfId="0" applyNumberFormat="1"/>
    <xf numFmtId="3" fontId="0" fillId="8" borderId="8" xfId="0" applyNumberFormat="1" applyFill="1" applyBorder="1" applyAlignment="1">
      <alignment horizontal="center" vertical="center" wrapText="1"/>
    </xf>
    <xf numFmtId="0" fontId="0" fillId="8" borderId="8" xfId="0" applyFill="1" applyBorder="1" applyAlignment="1">
      <alignment horizontal="center" vertical="center"/>
    </xf>
    <xf numFmtId="0" fontId="0" fillId="8" borderId="0" xfId="0" applyFill="1" applyAlignment="1">
      <alignment vertical="center"/>
    </xf>
    <xf numFmtId="4" fontId="0" fillId="8" borderId="0" xfId="0" applyNumberFormat="1" applyFill="1" applyAlignment="1">
      <alignment vertical="center"/>
    </xf>
    <xf numFmtId="4" fontId="23" fillId="8" borderId="0" xfId="0" applyNumberFormat="1" applyFont="1" applyFill="1" applyAlignment="1">
      <alignment vertical="center"/>
    </xf>
    <xf numFmtId="4" fontId="0" fillId="8" borderId="0" xfId="0" applyNumberFormat="1" applyFill="1" applyAlignment="1" applyProtection="1">
      <alignment horizontal="center" vertical="center"/>
      <protection locked="0"/>
    </xf>
    <xf numFmtId="4" fontId="0" fillId="5" borderId="1" xfId="0" applyNumberFormat="1" applyFill="1" applyBorder="1" applyAlignment="1" applyProtection="1">
      <alignment horizontal="center" vertical="center"/>
      <protection locked="0"/>
    </xf>
    <xf numFmtId="3" fontId="0" fillId="5" borderId="1" xfId="0" applyNumberFormat="1" applyFill="1" applyBorder="1" applyAlignment="1" applyProtection="1">
      <alignment horizontal="center" vertical="center"/>
      <protection locked="0"/>
    </xf>
    <xf numFmtId="4" fontId="14" fillId="8" borderId="0" xfId="0" applyNumberFormat="1" applyFont="1" applyFill="1" applyAlignment="1">
      <alignment horizontal="center" vertical="center"/>
    </xf>
    <xf numFmtId="3" fontId="0" fillId="8" borderId="1" xfId="0" applyNumberFormat="1" applyFill="1" applyBorder="1" applyAlignment="1">
      <alignment horizontal="center" vertical="center"/>
    </xf>
    <xf numFmtId="0" fontId="0" fillId="8" borderId="1" xfId="0" applyFill="1" applyBorder="1" applyAlignment="1">
      <alignment horizontal="center" vertical="center" wrapText="1"/>
    </xf>
    <xf numFmtId="0" fontId="31" fillId="0" borderId="0" xfId="0" applyFont="1"/>
    <xf numFmtId="0" fontId="25" fillId="8" borderId="0" xfId="0" applyFont="1" applyFill="1" applyAlignment="1">
      <alignment horizontal="left"/>
    </xf>
    <xf numFmtId="0" fontId="2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8" borderId="1" xfId="0" quotePrefix="1" applyFill="1" applyBorder="1" applyAlignment="1">
      <alignment horizontal="center"/>
    </xf>
    <xf numFmtId="0" fontId="0" fillId="0" borderId="0" xfId="0" applyAlignment="1">
      <alignment horizontal="left" vertical="center"/>
    </xf>
    <xf numFmtId="0" fontId="30" fillId="8" borderId="0" xfId="0" applyFont="1" applyFill="1"/>
    <xf numFmtId="0" fontId="2" fillId="0" borderId="0" xfId="0" applyFont="1"/>
    <xf numFmtId="0" fontId="2" fillId="15" borderId="7" xfId="0" applyFont="1" applyFill="1" applyBorder="1" applyAlignment="1">
      <alignment vertical="center"/>
    </xf>
    <xf numFmtId="0" fontId="2" fillId="15" borderId="7" xfId="0" applyFont="1" applyFill="1" applyBorder="1" applyAlignment="1">
      <alignment horizontal="center" vertical="center"/>
    </xf>
    <xf numFmtId="0" fontId="17" fillId="8" borderId="0" xfId="0" applyFont="1" applyFill="1" applyAlignment="1">
      <alignment horizontal="left"/>
    </xf>
    <xf numFmtId="0" fontId="2" fillId="0" borderId="4" xfId="0" applyFont="1" applyBorder="1" applyAlignment="1">
      <alignment horizontal="left"/>
    </xf>
    <xf numFmtId="4" fontId="2" fillId="0" borderId="4" xfId="0" applyNumberFormat="1" applyFont="1" applyBorder="1"/>
    <xf numFmtId="3" fontId="0" fillId="8" borderId="0" xfId="0" applyNumberFormat="1" applyFill="1"/>
    <xf numFmtId="0" fontId="2" fillId="0" borderId="0" xfId="0" applyFont="1" applyAlignment="1">
      <alignment horizontal="left"/>
    </xf>
    <xf numFmtId="3" fontId="2" fillId="0" borderId="0" xfId="0" applyNumberFormat="1" applyFont="1"/>
    <xf numFmtId="0" fontId="2" fillId="0" borderId="0" xfId="0" applyFont="1" applyAlignment="1">
      <alignment horizontal="left" indent="1"/>
    </xf>
    <xf numFmtId="0" fontId="2" fillId="8" borderId="0" xfId="0" applyFont="1" applyFill="1"/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2" fillId="0" borderId="0" xfId="0" applyFont="1" applyAlignment="1">
      <alignment horizontal="left" indent="2"/>
    </xf>
    <xf numFmtId="4" fontId="0" fillId="8" borderId="0" xfId="0" applyNumberFormat="1" applyFill="1"/>
    <xf numFmtId="0" fontId="2" fillId="5" borderId="4" xfId="0" applyFont="1" applyFill="1" applyBorder="1" applyAlignment="1">
      <alignment horizontal="left"/>
    </xf>
    <xf numFmtId="0" fontId="24" fillId="9" borderId="1" xfId="0" applyFont="1" applyFill="1" applyBorder="1" applyAlignment="1">
      <alignment horizontal="left" vertical="center" wrapText="1"/>
    </xf>
    <xf numFmtId="11" fontId="24" fillId="9" borderId="1" xfId="0" applyNumberFormat="1" applyFont="1" applyFill="1" applyBorder="1" applyAlignment="1">
      <alignment horizontal="left" vertical="center" wrapText="1"/>
    </xf>
    <xf numFmtId="4" fontId="31" fillId="0" borderId="0" xfId="0" applyNumberFormat="1" applyFont="1"/>
    <xf numFmtId="4" fontId="31" fillId="8" borderId="0" xfId="0" applyNumberFormat="1" applyFont="1" applyFill="1" applyAlignment="1">
      <alignment horizontal="left" vertical="center"/>
    </xf>
    <xf numFmtId="169" fontId="24" fillId="9" borderId="1" xfId="0" applyNumberFormat="1" applyFont="1" applyFill="1" applyBorder="1" applyAlignment="1">
      <alignment horizontal="left" vertical="center" wrapText="1"/>
    </xf>
    <xf numFmtId="3" fontId="26" fillId="0" borderId="0" xfId="0" applyNumberFormat="1" applyFont="1" applyAlignment="1">
      <alignment horizontal="center" vertical="center" wrapText="1"/>
    </xf>
    <xf numFmtId="0" fontId="2" fillId="8" borderId="0" xfId="0" applyFont="1" applyFill="1" applyAlignment="1">
      <alignment horizontal="center" vertical="center"/>
    </xf>
    <xf numFmtId="0" fontId="33" fillId="8" borderId="0" xfId="0" applyFont="1" applyFill="1" applyAlignment="1">
      <alignment horizontal="center" vertical="center"/>
    </xf>
    <xf numFmtId="0" fontId="33" fillId="8" borderId="13" xfId="0" applyFont="1" applyFill="1" applyBorder="1" applyAlignment="1">
      <alignment horizontal="center" vertical="center"/>
    </xf>
    <xf numFmtId="0" fontId="33" fillId="3" borderId="6" xfId="0" applyFont="1" applyFill="1" applyBorder="1" applyAlignment="1">
      <alignment horizontal="center" vertical="center"/>
    </xf>
    <xf numFmtId="0" fontId="33" fillId="3" borderId="1" xfId="0" applyFont="1" applyFill="1" applyBorder="1" applyAlignment="1">
      <alignment horizontal="center" vertical="center"/>
    </xf>
    <xf numFmtId="0" fontId="33" fillId="8" borderId="6" xfId="0" applyFont="1" applyFill="1" applyBorder="1" applyAlignment="1">
      <alignment horizontal="center" vertical="center"/>
    </xf>
    <xf numFmtId="0" fontId="33" fillId="8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33" fillId="5" borderId="1" xfId="0" applyFont="1" applyFill="1" applyBorder="1" applyAlignment="1">
      <alignment horizontal="center" vertical="center" wrapText="1"/>
    </xf>
    <xf numFmtId="0" fontId="3" fillId="8" borderId="0" xfId="0" applyFont="1" applyFill="1" applyAlignment="1">
      <alignment horizontal="left" vertical="center" wrapText="1"/>
    </xf>
    <xf numFmtId="0" fontId="33" fillId="8" borderId="4" xfId="0" applyFont="1" applyFill="1" applyBorder="1" applyAlignment="1">
      <alignment horizontal="center" vertical="center"/>
    </xf>
    <xf numFmtId="0" fontId="33" fillId="8" borderId="14" xfId="0" applyFont="1" applyFill="1" applyBorder="1" applyAlignment="1">
      <alignment horizontal="center" vertical="center"/>
    </xf>
    <xf numFmtId="0" fontId="33" fillId="0" borderId="1" xfId="0" applyFont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 wrapText="1"/>
    </xf>
    <xf numFmtId="0" fontId="34" fillId="16" borderId="1" xfId="0" applyFont="1" applyFill="1" applyBorder="1" applyAlignment="1">
      <alignment horizontal="center" vertical="center" wrapText="1"/>
    </xf>
    <xf numFmtId="2" fontId="33" fillId="8" borderId="1" xfId="0" applyNumberFormat="1" applyFont="1" applyFill="1" applyBorder="1" applyAlignment="1">
      <alignment horizontal="center" vertical="center"/>
    </xf>
    <xf numFmtId="2" fontId="33" fillId="8" borderId="2" xfId="0" applyNumberFormat="1" applyFont="1" applyFill="1" applyBorder="1" applyAlignment="1">
      <alignment vertical="center"/>
    </xf>
    <xf numFmtId="2" fontId="33" fillId="4" borderId="1" xfId="0" applyNumberFormat="1" applyFont="1" applyFill="1" applyBorder="1" applyAlignment="1">
      <alignment vertical="center"/>
    </xf>
    <xf numFmtId="2" fontId="33" fillId="4" borderId="9" xfId="0" applyNumberFormat="1" applyFont="1" applyFill="1" applyBorder="1" applyAlignment="1">
      <alignment vertical="center"/>
    </xf>
    <xf numFmtId="2" fontId="33" fillId="4" borderId="10" xfId="0" applyNumberFormat="1" applyFont="1" applyFill="1" applyBorder="1" applyAlignment="1">
      <alignment vertical="center"/>
    </xf>
    <xf numFmtId="2" fontId="33" fillId="5" borderId="1" xfId="0" applyNumberFormat="1" applyFont="1" applyFill="1" applyBorder="1" applyAlignment="1">
      <alignment horizontal="center" vertical="center"/>
    </xf>
    <xf numFmtId="2" fontId="33" fillId="5" borderId="8" xfId="0" applyNumberFormat="1" applyFont="1" applyFill="1" applyBorder="1" applyAlignment="1">
      <alignment horizontal="center" vertical="center"/>
    </xf>
    <xf numFmtId="4" fontId="23" fillId="8" borderId="0" xfId="0" applyNumberFormat="1" applyFont="1" applyFill="1" applyAlignment="1" applyProtection="1">
      <alignment vertical="center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4" fontId="23" fillId="8" borderId="0" xfId="0" applyNumberFormat="1" applyFont="1" applyFill="1" applyAlignment="1" applyProtection="1">
      <alignment horizontal="center" vertical="center"/>
      <protection locked="0"/>
    </xf>
    <xf numFmtId="4" fontId="24" fillId="8" borderId="0" xfId="0" applyNumberFormat="1" applyFont="1" applyFill="1" applyAlignment="1" applyProtection="1">
      <alignment horizontal="center" vertical="center"/>
      <protection locked="0"/>
    </xf>
    <xf numFmtId="4" fontId="32" fillId="8" borderId="0" xfId="0" applyNumberFormat="1" applyFont="1" applyFill="1" applyAlignment="1" applyProtection="1">
      <alignment horizontal="left" vertical="center"/>
      <protection locked="0"/>
    </xf>
    <xf numFmtId="4" fontId="4" fillId="8" borderId="0" xfId="0" applyNumberFormat="1" applyFont="1" applyFill="1" applyAlignment="1" applyProtection="1">
      <alignment horizontal="left" vertical="center"/>
      <protection locked="0"/>
    </xf>
    <xf numFmtId="4" fontId="2" fillId="10" borderId="1" xfId="0" applyNumberFormat="1" applyFont="1" applyFill="1" applyBorder="1" applyAlignment="1" applyProtection="1">
      <alignment horizontal="center" vertical="center"/>
      <protection locked="0"/>
    </xf>
    <xf numFmtId="4" fontId="2" fillId="0" borderId="0" xfId="0" applyNumberFormat="1" applyFont="1" applyAlignment="1" applyProtection="1">
      <alignment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4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4" fontId="2" fillId="10" borderId="1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4" fontId="2" fillId="10" borderId="5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/>
      <protection locked="0"/>
    </xf>
    <xf numFmtId="4" fontId="2" fillId="0" borderId="4" xfId="0" applyNumberFormat="1" applyFont="1" applyBorder="1" applyAlignment="1" applyProtection="1">
      <alignment horizontal="center"/>
      <protection locked="0"/>
    </xf>
    <xf numFmtId="4" fontId="0" fillId="0" borderId="0" xfId="0" applyNumberFormat="1" applyAlignment="1" applyProtection="1">
      <alignment horizontal="center" vertical="center" wrapText="1"/>
      <protection locked="0"/>
    </xf>
    <xf numFmtId="4" fontId="31" fillId="0" borderId="0" xfId="0" applyNumberFormat="1" applyFont="1" applyAlignment="1" applyProtection="1">
      <alignment horizontal="center" vertical="center"/>
      <protection locked="0"/>
    </xf>
    <xf numFmtId="4" fontId="14" fillId="8" borderId="0" xfId="0" applyNumberFormat="1" applyFont="1" applyFill="1" applyAlignment="1" applyProtection="1">
      <alignment vertical="center"/>
      <protection locked="0"/>
    </xf>
    <xf numFmtId="166" fontId="0" fillId="0" borderId="0" xfId="0" applyNumberFormat="1" applyAlignment="1" applyProtection="1">
      <alignment horizontal="center" vertical="center"/>
      <protection locked="0"/>
    </xf>
    <xf numFmtId="166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166" fontId="0" fillId="8" borderId="0" xfId="0" applyNumberFormat="1" applyFill="1" applyAlignment="1" applyProtection="1">
      <alignment horizontal="center" vertical="center"/>
      <protection locked="0"/>
    </xf>
    <xf numFmtId="0" fontId="33" fillId="8" borderId="0" xfId="0" applyFont="1" applyFill="1" applyAlignment="1" applyProtection="1">
      <alignment horizontal="center" vertical="center" wrapText="1"/>
      <protection locked="0"/>
    </xf>
    <xf numFmtId="4" fontId="31" fillId="0" borderId="0" xfId="0" applyNumberFormat="1" applyFont="1" applyAlignment="1" applyProtection="1">
      <alignment horizontal="left" vertical="center"/>
      <protection locked="0"/>
    </xf>
    <xf numFmtId="2" fontId="0" fillId="5" borderId="1" xfId="0" applyNumberFormat="1" applyFill="1" applyBorder="1" applyAlignment="1" applyProtection="1">
      <alignment horizontal="center" vertical="center"/>
      <protection locked="0"/>
    </xf>
    <xf numFmtId="2" fontId="0" fillId="5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6" fillId="0" borderId="0" xfId="0" applyFont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2" fillId="0" borderId="4" xfId="0" applyFont="1" applyBorder="1" applyAlignment="1">
      <alignment horizontal="center"/>
    </xf>
    <xf numFmtId="3" fontId="0" fillId="0" borderId="1" xfId="0" applyNumberFormat="1" applyBorder="1" applyAlignment="1">
      <alignment horizontal="left" vertical="center"/>
    </xf>
    <xf numFmtId="3" fontId="0" fillId="0" borderId="6" xfId="0" applyNumberFormat="1" applyBorder="1" applyAlignment="1">
      <alignment vertical="center" wrapText="1"/>
    </xf>
    <xf numFmtId="3" fontId="0" fillId="0" borderId="4" xfId="0" applyNumberFormat="1" applyBorder="1" applyAlignment="1">
      <alignment vertical="center" wrapText="1"/>
    </xf>
    <xf numFmtId="11" fontId="0" fillId="8" borderId="1" xfId="0" applyNumberFormat="1" applyFill="1" applyBorder="1" applyAlignment="1">
      <alignment horizontal="center" vertical="center"/>
    </xf>
    <xf numFmtId="170" fontId="0" fillId="8" borderId="1" xfId="0" quotePrefix="1" applyNumberFormat="1" applyFill="1" applyBorder="1" applyAlignment="1">
      <alignment horizontal="center" vertical="center"/>
    </xf>
    <xf numFmtId="4" fontId="0" fillId="8" borderId="1" xfId="2" quotePrefix="1" applyNumberFormat="1" applyFont="1" applyFill="1" applyBorder="1" applyAlignment="1">
      <alignment horizontal="center" vertical="center" wrapText="1"/>
    </xf>
    <xf numFmtId="3" fontId="26" fillId="2" borderId="14" xfId="0" applyNumberFormat="1" applyFont="1" applyFill="1" applyBorder="1" applyAlignment="1">
      <alignment horizontal="center" vertical="center" wrapText="1"/>
    </xf>
    <xf numFmtId="3" fontId="26" fillId="2" borderId="10" xfId="0" applyNumberFormat="1" applyFont="1" applyFill="1" applyBorder="1" applyAlignment="1">
      <alignment horizontal="center" vertical="center" wrapText="1"/>
    </xf>
    <xf numFmtId="4" fontId="26" fillId="2" borderId="10" xfId="0" applyNumberFormat="1" applyFont="1" applyFill="1" applyBorder="1" applyAlignment="1">
      <alignment horizontal="center" vertical="center" wrapText="1"/>
    </xf>
    <xf numFmtId="3" fontId="26" fillId="2" borderId="6" xfId="0" applyNumberFormat="1" applyFont="1" applyFill="1" applyBorder="1" applyAlignment="1">
      <alignment horizontal="center" vertical="center" wrapText="1"/>
    </xf>
    <xf numFmtId="3" fontId="26" fillId="2" borderId="12" xfId="0" applyNumberFormat="1" applyFont="1" applyFill="1" applyBorder="1" applyAlignment="1">
      <alignment horizontal="center" vertical="center" wrapText="1"/>
    </xf>
    <xf numFmtId="4" fontId="24" fillId="0" borderId="0" xfId="0" applyNumberFormat="1" applyFont="1" applyAlignment="1">
      <alignment horizontal="center" vertical="center"/>
    </xf>
    <xf numFmtId="4" fontId="24" fillId="0" borderId="0" xfId="0" applyNumberFormat="1" applyFont="1" applyAlignment="1" applyProtection="1">
      <alignment horizontal="center" vertical="center"/>
      <protection locked="0"/>
    </xf>
    <xf numFmtId="4" fontId="0" fillId="0" borderId="0" xfId="0" applyNumberFormat="1" applyAlignment="1">
      <alignment horizontal="center" vertical="center"/>
    </xf>
    <xf numFmtId="2" fontId="33" fillId="8" borderId="0" xfId="0" applyNumberFormat="1" applyFont="1" applyFill="1" applyAlignment="1">
      <alignment vertical="center"/>
    </xf>
    <xf numFmtId="0" fontId="0" fillId="17" borderId="0" xfId="0" applyFill="1" applyAlignment="1">
      <alignment horizontal="left" vertical="center" wrapText="1"/>
    </xf>
    <xf numFmtId="4" fontId="0" fillId="17" borderId="0" xfId="0" applyNumberFormat="1" applyFill="1" applyAlignment="1" applyProtection="1">
      <alignment horizontal="left" vertical="center"/>
      <protection locked="0"/>
    </xf>
    <xf numFmtId="0" fontId="0" fillId="17" borderId="0" xfId="0" applyFill="1"/>
    <xf numFmtId="0" fontId="0" fillId="17" borderId="0" xfId="0" applyFill="1" applyAlignment="1">
      <alignment horizontal="left"/>
    </xf>
    <xf numFmtId="4" fontId="23" fillId="17" borderId="0" xfId="0" applyNumberFormat="1" applyFont="1" applyFill="1" applyAlignment="1">
      <alignment horizontal="left" vertical="center"/>
    </xf>
    <xf numFmtId="0" fontId="0" fillId="17" borderId="0" xfId="0" applyFill="1" applyAlignment="1">
      <alignment horizontal="left" vertical="center"/>
    </xf>
    <xf numFmtId="0" fontId="2" fillId="8" borderId="0" xfId="0" applyFont="1" applyFill="1" applyAlignment="1">
      <alignment vertical="center"/>
    </xf>
    <xf numFmtId="4" fontId="0" fillId="17" borderId="0" xfId="0" applyNumberFormat="1" applyFill="1" applyAlignment="1">
      <alignment horizontal="left"/>
    </xf>
    <xf numFmtId="0" fontId="37" fillId="17" borderId="0" xfId="0" applyFont="1" applyFill="1" applyAlignment="1">
      <alignment horizontal="left"/>
    </xf>
    <xf numFmtId="0" fontId="33" fillId="17" borderId="0" xfId="0" applyFont="1" applyFill="1" applyAlignment="1">
      <alignment horizontal="center" vertical="center"/>
    </xf>
    <xf numFmtId="0" fontId="33" fillId="17" borderId="0" xfId="0" applyFont="1" applyFill="1" applyAlignment="1">
      <alignment horizontal="left" vertical="center"/>
    </xf>
    <xf numFmtId="4" fontId="23" fillId="8" borderId="0" xfId="0" applyNumberFormat="1" applyFont="1" applyFill="1" applyAlignment="1">
      <alignment horizontal="left" vertical="center"/>
    </xf>
    <xf numFmtId="0" fontId="33" fillId="8" borderId="0" xfId="0" applyFont="1" applyFill="1" applyAlignment="1">
      <alignment horizontal="left" vertical="center"/>
    </xf>
    <xf numFmtId="4" fontId="23" fillId="8" borderId="0" xfId="0" applyNumberFormat="1" applyFont="1" applyFill="1" applyAlignment="1">
      <alignment horizontal="center" vertical="center"/>
    </xf>
    <xf numFmtId="0" fontId="0" fillId="8" borderId="0" xfId="0" applyFill="1" applyAlignment="1">
      <alignment horizontal="left"/>
    </xf>
    <xf numFmtId="0" fontId="8" fillId="8" borderId="0" xfId="2" applyFill="1" applyAlignment="1">
      <alignment horizontal="center" vertical="center"/>
    </xf>
    <xf numFmtId="4" fontId="2" fillId="10" borderId="12" xfId="0" applyNumberFormat="1" applyFont="1" applyFill="1" applyBorder="1" applyAlignment="1" applyProtection="1">
      <alignment vertical="center"/>
      <protection locked="0"/>
    </xf>
    <xf numFmtId="4" fontId="2" fillId="10" borderId="13" xfId="0" applyNumberFormat="1" applyFont="1" applyFill="1" applyBorder="1" applyAlignment="1" applyProtection="1">
      <alignment vertical="center"/>
      <protection locked="0"/>
    </xf>
    <xf numFmtId="0" fontId="39" fillId="0" borderId="0" xfId="4" applyAlignment="1">
      <alignment horizontal="left" vertical="top"/>
    </xf>
    <xf numFmtId="0" fontId="9" fillId="5" borderId="6" xfId="0" applyFont="1" applyFill="1" applyBorder="1" applyAlignment="1">
      <alignment horizontal="center" vertical="center" wrapText="1"/>
    </xf>
    <xf numFmtId="0" fontId="46" fillId="8" borderId="13" xfId="0" applyFont="1" applyFill="1" applyBorder="1" applyAlignment="1">
      <alignment horizontal="center" vertical="center"/>
    </xf>
    <xf numFmtId="4" fontId="0" fillId="0" borderId="1" xfId="0" applyNumberFormat="1" applyBorder="1" applyAlignment="1" applyProtection="1">
      <alignment horizontal="center" vertical="center" wrapText="1"/>
      <protection locked="0"/>
    </xf>
    <xf numFmtId="4" fontId="47" fillId="18" borderId="0" xfId="0" applyNumberFormat="1" applyFont="1" applyFill="1" applyAlignment="1" applyProtection="1">
      <alignment horizontal="center" vertical="center"/>
      <protection locked="0"/>
    </xf>
    <xf numFmtId="4" fontId="14" fillId="0" borderId="0" xfId="0" applyNumberFormat="1" applyFont="1" applyAlignment="1" applyProtection="1">
      <alignment vertical="center"/>
      <protection locked="0"/>
    </xf>
    <xf numFmtId="0" fontId="40" fillId="0" borderId="0" xfId="4" applyFont="1" applyAlignment="1">
      <alignment horizontal="right" vertical="center" wrapText="1"/>
    </xf>
    <xf numFmtId="0" fontId="40" fillId="0" borderId="0" xfId="4" applyFont="1" applyAlignment="1">
      <alignment horizontal="left" vertical="top" wrapText="1"/>
    </xf>
    <xf numFmtId="0" fontId="39" fillId="0" borderId="0" xfId="4" applyAlignment="1">
      <alignment vertical="top" wrapText="1"/>
    </xf>
    <xf numFmtId="0" fontId="42" fillId="0" borderId="0" xfId="4" applyFont="1" applyAlignment="1">
      <alignment horizontal="right" vertical="top" wrapText="1"/>
    </xf>
    <xf numFmtId="2" fontId="43" fillId="0" borderId="0" xfId="4" applyNumberFormat="1" applyFont="1" applyAlignment="1">
      <alignment horizontal="right" vertical="top" shrinkToFit="1"/>
    </xf>
    <xf numFmtId="165" fontId="43" fillId="0" borderId="0" xfId="4" applyNumberFormat="1" applyFont="1" applyAlignment="1">
      <alignment horizontal="right" vertical="top" shrinkToFit="1"/>
    </xf>
    <xf numFmtId="0" fontId="44" fillId="0" borderId="0" xfId="4" applyFont="1" applyAlignment="1">
      <alignment horizontal="right" vertical="top" wrapText="1"/>
    </xf>
    <xf numFmtId="2" fontId="45" fillId="0" borderId="0" xfId="4" applyNumberFormat="1" applyFont="1" applyAlignment="1">
      <alignment horizontal="right" vertical="top" shrinkToFit="1"/>
    </xf>
    <xf numFmtId="165" fontId="45" fillId="0" borderId="0" xfId="4" applyNumberFormat="1" applyFont="1" applyAlignment="1">
      <alignment horizontal="right" vertical="top" shrinkToFit="1"/>
    </xf>
    <xf numFmtId="171" fontId="45" fillId="0" borderId="0" xfId="4" applyNumberFormat="1" applyFont="1" applyAlignment="1">
      <alignment horizontal="right" vertical="top" shrinkToFit="1"/>
    </xf>
    <xf numFmtId="4" fontId="10" fillId="0" borderId="1" xfId="3" applyNumberFormat="1" applyBorder="1" applyAlignment="1" applyProtection="1">
      <alignment horizontal="center" vertical="center" wrapText="1"/>
      <protection locked="0"/>
    </xf>
    <xf numFmtId="4" fontId="0" fillId="0" borderId="1" xfId="0" applyNumberFormat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4" fontId="51" fillId="17" borderId="0" xfId="0" applyNumberFormat="1" applyFont="1" applyFill="1" applyAlignment="1" applyProtection="1">
      <alignment horizontal="left" vertical="center"/>
      <protection locked="0"/>
    </xf>
    <xf numFmtId="0" fontId="51" fillId="17" borderId="0" xfId="0" applyFont="1" applyFill="1" applyAlignment="1">
      <alignment horizontal="left" vertical="center"/>
    </xf>
    <xf numFmtId="0" fontId="0" fillId="0" borderId="1" xfId="0" applyBorder="1"/>
    <xf numFmtId="0" fontId="0" fillId="0" borderId="1" xfId="0" applyBorder="1" applyAlignment="1">
      <alignment horizontal="right"/>
    </xf>
    <xf numFmtId="2" fontId="0" fillId="0" borderId="1" xfId="0" applyNumberFormat="1" applyBorder="1" applyAlignment="1">
      <alignment horizontal="center"/>
    </xf>
    <xf numFmtId="0" fontId="14" fillId="20" borderId="1" xfId="0" applyFont="1" applyFill="1" applyBorder="1" applyAlignment="1">
      <alignment vertical="center" wrapText="1"/>
    </xf>
    <xf numFmtId="0" fontId="14" fillId="20" borderId="1" xfId="0" applyFont="1" applyFill="1" applyBorder="1" applyAlignment="1">
      <alignment horizontal="center" vertical="center" wrapText="1"/>
    </xf>
    <xf numFmtId="0" fontId="0" fillId="8" borderId="0" xfId="0" applyFill="1" applyAlignment="1">
      <alignment horizontal="center"/>
    </xf>
    <xf numFmtId="0" fontId="13" fillId="8" borderId="0" xfId="0" applyFont="1" applyFill="1"/>
    <xf numFmtId="0" fontId="0" fillId="8" borderId="1" xfId="0" applyFill="1" applyBorder="1"/>
    <xf numFmtId="165" fontId="0" fillId="8" borderId="0" xfId="0" applyNumberFormat="1" applyFill="1"/>
    <xf numFmtId="0" fontId="2" fillId="8" borderId="0" xfId="0" applyFont="1" applyFill="1" applyAlignment="1">
      <alignment horizontal="center"/>
    </xf>
    <xf numFmtId="0" fontId="33" fillId="8" borderId="0" xfId="0" applyFont="1" applyFill="1" applyAlignment="1">
      <alignment horizontal="center" vertical="center" wrapText="1"/>
    </xf>
    <xf numFmtId="0" fontId="34" fillId="8" borderId="0" xfId="0" applyFont="1" applyFill="1" applyAlignment="1">
      <alignment horizontal="center" vertical="center" wrapText="1"/>
    </xf>
    <xf numFmtId="3" fontId="2" fillId="21" borderId="1" xfId="0" applyNumberFormat="1" applyFont="1" applyFill="1" applyBorder="1"/>
    <xf numFmtId="0" fontId="52" fillId="0" borderId="24" xfId="0" applyFont="1" applyBorder="1" applyAlignment="1">
      <alignment vertical="center" wrapText="1"/>
    </xf>
    <xf numFmtId="0" fontId="52" fillId="0" borderId="25" xfId="0" applyFont="1" applyBorder="1" applyAlignment="1">
      <alignment vertical="center" wrapText="1"/>
    </xf>
    <xf numFmtId="0" fontId="53" fillId="0" borderId="28" xfId="0" applyFont="1" applyBorder="1" applyAlignment="1">
      <alignment vertical="center" wrapText="1"/>
    </xf>
    <xf numFmtId="11" fontId="53" fillId="0" borderId="28" xfId="0" applyNumberFormat="1" applyFont="1" applyBorder="1" applyAlignment="1">
      <alignment vertical="center" wrapText="1"/>
    </xf>
    <xf numFmtId="0" fontId="53" fillId="0" borderId="26" xfId="0" applyFont="1" applyBorder="1" applyAlignment="1">
      <alignment vertical="center" wrapText="1"/>
    </xf>
    <xf numFmtId="0" fontId="2" fillId="0" borderId="7" xfId="0" applyFont="1" applyBorder="1" applyAlignment="1">
      <alignment horizontal="center"/>
    </xf>
    <xf numFmtId="3" fontId="0" fillId="4" borderId="1" xfId="0" applyNumberFormat="1" applyFill="1" applyBorder="1"/>
    <xf numFmtId="3" fontId="1" fillId="8" borderId="1" xfId="0" applyNumberFormat="1" applyFont="1" applyFill="1" applyBorder="1" applyAlignment="1">
      <alignment horizontal="center" vertical="center"/>
    </xf>
    <xf numFmtId="3" fontId="1" fillId="8" borderId="1" xfId="0" quotePrefix="1" applyNumberFormat="1" applyFont="1" applyFill="1" applyBorder="1" applyAlignment="1">
      <alignment horizontal="center" vertical="center"/>
    </xf>
    <xf numFmtId="3" fontId="1" fillId="8" borderId="1" xfId="0" applyNumberFormat="1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left"/>
    </xf>
    <xf numFmtId="3" fontId="49" fillId="8" borderId="1" xfId="0" applyNumberFormat="1" applyFont="1" applyFill="1" applyBorder="1" applyAlignment="1">
      <alignment horizontal="center" vertical="center" wrapText="1"/>
    </xf>
    <xf numFmtId="4" fontId="0" fillId="8" borderId="1" xfId="0" applyNumberFormat="1" applyFill="1" applyBorder="1" applyAlignment="1" applyProtection="1">
      <alignment horizontal="center" vertical="center"/>
      <protection locked="0"/>
    </xf>
    <xf numFmtId="4" fontId="3" fillId="8" borderId="1" xfId="0" applyNumberFormat="1" applyFont="1" applyFill="1" applyBorder="1" applyAlignment="1" applyProtection="1">
      <alignment horizontal="center" vertical="center"/>
      <protection locked="0"/>
    </xf>
    <xf numFmtId="166" fontId="2" fillId="21" borderId="1" xfId="0" applyNumberFormat="1" applyFont="1" applyFill="1" applyBorder="1" applyAlignment="1" applyProtection="1">
      <alignment horizontal="center" vertical="center" wrapText="1"/>
      <protection locked="0"/>
    </xf>
    <xf numFmtId="4" fontId="0" fillId="21" borderId="1" xfId="0" applyNumberFormat="1" applyFill="1" applyBorder="1" applyAlignment="1" applyProtection="1">
      <alignment horizontal="center" vertical="center"/>
      <protection locked="0"/>
    </xf>
    <xf numFmtId="3" fontId="49" fillId="2" borderId="6" xfId="0" applyNumberFormat="1" applyFont="1" applyFill="1" applyBorder="1" applyAlignment="1">
      <alignment horizontal="center" vertical="center" wrapText="1"/>
    </xf>
    <xf numFmtId="0" fontId="0" fillId="8" borderId="4" xfId="0" applyFill="1" applyBorder="1" applyProtection="1">
      <protection locked="0"/>
    </xf>
    <xf numFmtId="4" fontId="0" fillId="8" borderId="4" xfId="0" applyNumberFormat="1" applyFill="1" applyBorder="1" applyAlignment="1" applyProtection="1">
      <alignment horizontal="center" vertical="center"/>
      <protection locked="0"/>
    </xf>
    <xf numFmtId="4" fontId="1" fillId="8" borderId="1" xfId="0" applyNumberFormat="1" applyFont="1" applyFill="1" applyBorder="1" applyAlignment="1">
      <alignment horizontal="center" vertical="center" wrapText="1"/>
    </xf>
    <xf numFmtId="0" fontId="8" fillId="0" borderId="2" xfId="5" applyBorder="1" applyAlignment="1">
      <alignment vertical="center" wrapText="1"/>
    </xf>
    <xf numFmtId="0" fontId="8" fillId="0" borderId="0" xfId="5" applyBorder="1" applyAlignment="1">
      <alignment vertical="center" wrapText="1"/>
    </xf>
    <xf numFmtId="0" fontId="3" fillId="0" borderId="0" xfId="5" applyFont="1" applyBorder="1" applyAlignment="1">
      <alignment vertical="center" wrapText="1"/>
    </xf>
    <xf numFmtId="0" fontId="0" fillId="8" borderId="0" xfId="0" applyFill="1" applyAlignment="1">
      <alignment horizontal="center" vertical="center" wrapText="1"/>
    </xf>
    <xf numFmtId="0" fontId="0" fillId="8" borderId="11" xfId="0" applyFill="1" applyBorder="1" applyAlignment="1">
      <alignment horizontal="center" vertical="center" wrapText="1"/>
    </xf>
    <xf numFmtId="0" fontId="0" fillId="8" borderId="15" xfId="0" applyFill="1" applyBorder="1" applyAlignment="1">
      <alignment horizontal="center" vertical="center" wrapText="1"/>
    </xf>
    <xf numFmtId="0" fontId="0" fillId="8" borderId="1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13" xfId="0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4" fontId="24" fillId="0" borderId="16" xfId="0" applyNumberFormat="1" applyFont="1" applyBorder="1" applyAlignment="1">
      <alignment horizontal="center" vertical="center"/>
    </xf>
    <xf numFmtId="4" fontId="0" fillId="8" borderId="0" xfId="0" applyNumberFormat="1" applyFill="1" applyAlignment="1">
      <alignment horizontal="center" vertical="center"/>
    </xf>
    <xf numFmtId="0" fontId="24" fillId="0" borderId="0" xfId="0" applyFont="1"/>
    <xf numFmtId="0" fontId="57" fillId="0" borderId="0" xfId="0" applyFont="1" applyAlignment="1">
      <alignment vertical="center"/>
    </xf>
    <xf numFmtId="0" fontId="24" fillId="23" borderId="0" xfId="0" applyFont="1" applyFill="1"/>
    <xf numFmtId="0" fontId="58" fillId="23" borderId="0" xfId="0" applyFont="1" applyFill="1"/>
    <xf numFmtId="0" fontId="59" fillId="0" borderId="0" xfId="0" applyFont="1" applyAlignment="1">
      <alignment vertical="top" wrapText="1"/>
    </xf>
    <xf numFmtId="0" fontId="59" fillId="24" borderId="1" xfId="0" applyFont="1" applyFill="1" applyBorder="1" applyAlignment="1">
      <alignment horizontal="center" vertical="center" wrapText="1"/>
    </xf>
    <xf numFmtId="0" fontId="59" fillId="24" borderId="0" xfId="0" applyFont="1" applyFill="1" applyAlignment="1">
      <alignment horizontal="center" vertical="center" wrapText="1"/>
    </xf>
    <xf numFmtId="0" fontId="59" fillId="14" borderId="1" xfId="0" applyFont="1" applyFill="1" applyBorder="1" applyAlignment="1">
      <alignment horizontal="center" vertical="center" wrapText="1"/>
    </xf>
    <xf numFmtId="0" fontId="59" fillId="9" borderId="1" xfId="0" applyFont="1" applyFill="1" applyBorder="1" applyAlignment="1">
      <alignment horizontal="center" vertical="center" wrapText="1"/>
    </xf>
    <xf numFmtId="0" fontId="59" fillId="21" borderId="1" xfId="0" applyFont="1" applyFill="1" applyBorder="1" applyAlignment="1">
      <alignment horizontal="center" vertical="center" wrapText="1"/>
    </xf>
    <xf numFmtId="2" fontId="59" fillId="21" borderId="1" xfId="0" applyNumberFormat="1" applyFont="1" applyFill="1" applyBorder="1" applyAlignment="1">
      <alignment horizontal="center" vertical="center" wrapText="1"/>
    </xf>
    <xf numFmtId="2" fontId="59" fillId="18" borderId="8" xfId="0" applyNumberFormat="1" applyFont="1" applyFill="1" applyBorder="1" applyAlignment="1">
      <alignment horizontal="center" vertical="center" wrapText="1"/>
    </xf>
    <xf numFmtId="0" fontId="8" fillId="9" borderId="8" xfId="5" applyFill="1" applyBorder="1" applyAlignment="1">
      <alignment horizontal="center" vertical="center" wrapText="1"/>
    </xf>
    <xf numFmtId="0" fontId="3" fillId="8" borderId="1" xfId="5" applyFont="1" applyFill="1" applyBorder="1" applyAlignment="1">
      <alignment horizontal="center" vertical="center" wrapText="1"/>
    </xf>
    <xf numFmtId="0" fontId="61" fillId="14" borderId="1" xfId="0" applyFont="1" applyFill="1" applyBorder="1" applyAlignment="1">
      <alignment horizontal="center" vertical="center" wrapText="1"/>
    </xf>
    <xf numFmtId="2" fontId="24" fillId="0" borderId="0" xfId="0" applyNumberFormat="1" applyFont="1"/>
    <xf numFmtId="2" fontId="59" fillId="21" borderId="8" xfId="0" applyNumberFormat="1" applyFont="1" applyFill="1" applyBorder="1" applyAlignment="1">
      <alignment horizontal="center" vertical="center" wrapText="1"/>
    </xf>
    <xf numFmtId="0" fontId="62" fillId="9" borderId="8" xfId="5" applyFont="1" applyFill="1" applyBorder="1" applyAlignment="1">
      <alignment horizontal="center" vertical="center" wrapText="1"/>
    </xf>
    <xf numFmtId="0" fontId="63" fillId="0" borderId="1" xfId="5" applyFont="1" applyBorder="1" applyAlignment="1">
      <alignment horizontal="center" vertical="center" wrapText="1"/>
    </xf>
    <xf numFmtId="0" fontId="62" fillId="0" borderId="0" xfId="5" applyFont="1" applyFill="1" applyBorder="1" applyAlignment="1">
      <alignment horizontal="center" vertical="center" wrapText="1"/>
    </xf>
    <xf numFmtId="0" fontId="59" fillId="8" borderId="0" xfId="0" applyFont="1" applyFill="1" applyAlignment="1">
      <alignment horizontal="center" vertical="center" wrapText="1"/>
    </xf>
    <xf numFmtId="0" fontId="59" fillId="9" borderId="8" xfId="0" applyFont="1" applyFill="1" applyBorder="1" applyAlignment="1">
      <alignment horizontal="center" vertical="center" wrapText="1"/>
    </xf>
    <xf numFmtId="2" fontId="59" fillId="18" borderId="1" xfId="0" applyNumberFormat="1" applyFont="1" applyFill="1" applyBorder="1" applyAlignment="1">
      <alignment horizontal="center" vertical="center" wrapText="1"/>
    </xf>
    <xf numFmtId="0" fontId="62" fillId="0" borderId="1" xfId="5" applyFont="1" applyBorder="1" applyAlignment="1">
      <alignment horizontal="center" vertical="center" wrapText="1"/>
    </xf>
    <xf numFmtId="0" fontId="59" fillId="21" borderId="8" xfId="0" applyFont="1" applyFill="1" applyBorder="1" applyAlignment="1">
      <alignment horizontal="center" vertical="center" wrapText="1"/>
    </xf>
    <xf numFmtId="0" fontId="62" fillId="0" borderId="1" xfId="5" applyFont="1" applyBorder="1" applyAlignment="1">
      <alignment horizontal="center" vertical="center"/>
    </xf>
    <xf numFmtId="0" fontId="62" fillId="8" borderId="1" xfId="5" applyFont="1" applyFill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62" fillId="0" borderId="0" xfId="5" applyFont="1" applyFill="1" applyBorder="1" applyAlignment="1">
      <alignment horizontal="center" vertical="center"/>
    </xf>
    <xf numFmtId="1" fontId="59" fillId="21" borderId="1" xfId="6" applyNumberFormat="1" applyFont="1" applyFill="1" applyBorder="1" applyAlignment="1">
      <alignment horizontal="center" vertical="center" wrapText="1"/>
    </xf>
    <xf numFmtId="1" fontId="59" fillId="0" borderId="0" xfId="0" applyNumberFormat="1" applyFont="1" applyAlignment="1">
      <alignment vertical="top" wrapText="1"/>
    </xf>
    <xf numFmtId="165" fontId="59" fillId="18" borderId="8" xfId="0" applyNumberFormat="1" applyFont="1" applyFill="1" applyBorder="1" applyAlignment="1">
      <alignment horizontal="center" vertical="center" wrapText="1"/>
    </xf>
    <xf numFmtId="0" fontId="24" fillId="8" borderId="0" xfId="0" applyFont="1" applyFill="1"/>
    <xf numFmtId="2" fontId="59" fillId="21" borderId="9" xfId="0" applyNumberFormat="1" applyFont="1" applyFill="1" applyBorder="1" applyAlignment="1">
      <alignment horizontal="center" vertical="center" wrapText="1"/>
    </xf>
    <xf numFmtId="0" fontId="62" fillId="0" borderId="1" xfId="5" applyFont="1" applyFill="1" applyBorder="1" applyAlignment="1">
      <alignment vertical="center" wrapText="1"/>
    </xf>
    <xf numFmtId="0" fontId="64" fillId="0" borderId="0" xfId="0" applyFont="1" applyAlignment="1">
      <alignment vertical="center" wrapText="1"/>
    </xf>
    <xf numFmtId="2" fontId="65" fillId="21" borderId="1" xfId="0" applyNumberFormat="1" applyFont="1" applyFill="1" applyBorder="1" applyAlignment="1">
      <alignment horizontal="center" vertical="center" wrapText="1"/>
    </xf>
    <xf numFmtId="0" fontId="66" fillId="9" borderId="8" xfId="5" applyFont="1" applyFill="1" applyBorder="1" applyAlignment="1">
      <alignment horizontal="center" vertical="center" wrapText="1"/>
    </xf>
    <xf numFmtId="2" fontId="59" fillId="21" borderId="10" xfId="0" applyNumberFormat="1" applyFont="1" applyFill="1" applyBorder="1" applyAlignment="1">
      <alignment horizontal="center" vertical="center" wrapText="1"/>
    </xf>
    <xf numFmtId="172" fontId="59" fillId="18" borderId="10" xfId="0" applyNumberFormat="1" applyFont="1" applyFill="1" applyBorder="1" applyAlignment="1">
      <alignment horizontal="center" vertical="center" wrapText="1"/>
    </xf>
    <xf numFmtId="172" fontId="24" fillId="0" borderId="0" xfId="0" applyNumberFormat="1" applyFont="1"/>
    <xf numFmtId="172" fontId="59" fillId="18" borderId="1" xfId="0" applyNumberFormat="1" applyFont="1" applyFill="1" applyBorder="1" applyAlignment="1">
      <alignment horizontal="center" vertical="center" wrapText="1"/>
    </xf>
    <xf numFmtId="0" fontId="59" fillId="14" borderId="8" xfId="0" applyFont="1" applyFill="1" applyBorder="1" applyAlignment="1">
      <alignment horizontal="center" vertical="center" wrapText="1"/>
    </xf>
    <xf numFmtId="0" fontId="29" fillId="25" borderId="1" xfId="0" applyFont="1" applyFill="1" applyBorder="1"/>
    <xf numFmtId="2" fontId="24" fillId="25" borderId="1" xfId="0" applyNumberFormat="1" applyFont="1" applyFill="1" applyBorder="1"/>
    <xf numFmtId="0" fontId="64" fillId="0" borderId="0" xfId="0" applyFont="1" applyAlignment="1">
      <alignment vertical="top" wrapText="1"/>
    </xf>
    <xf numFmtId="0" fontId="24" fillId="0" borderId="0" xfId="0" applyFont="1" applyAlignment="1">
      <alignment vertical="center"/>
    </xf>
    <xf numFmtId="4" fontId="2" fillId="5" borderId="4" xfId="0" applyNumberFormat="1" applyFont="1" applyFill="1" applyBorder="1"/>
    <xf numFmtId="4" fontId="3" fillId="0" borderId="0" xfId="0" applyNumberFormat="1" applyFont="1"/>
    <xf numFmtId="4" fontId="26" fillId="0" borderId="4" xfId="0" applyNumberFormat="1" applyFont="1" applyBorder="1"/>
    <xf numFmtId="4" fontId="26" fillId="0" borderId="0" xfId="0" applyNumberFormat="1" applyFont="1"/>
    <xf numFmtId="4" fontId="3" fillId="8" borderId="1" xfId="0" applyNumberFormat="1" applyFont="1" applyFill="1" applyBorder="1" applyAlignment="1">
      <alignment horizontal="center" vertical="center" wrapText="1"/>
    </xf>
    <xf numFmtId="4" fontId="54" fillId="8" borderId="1" xfId="0" applyNumberFormat="1" applyFont="1" applyFill="1" applyBorder="1" applyAlignment="1">
      <alignment horizontal="center" vertical="center" wrapText="1"/>
    </xf>
    <xf numFmtId="4" fontId="0" fillId="8" borderId="8" xfId="0" applyNumberFormat="1" applyFill="1" applyBorder="1" applyAlignment="1">
      <alignment horizontal="center" vertical="center"/>
    </xf>
    <xf numFmtId="4" fontId="2" fillId="8" borderId="4" xfId="0" applyNumberFormat="1" applyFont="1" applyFill="1" applyBorder="1"/>
    <xf numFmtId="4" fontId="26" fillId="8" borderId="4" xfId="0" applyNumberFormat="1" applyFont="1" applyFill="1" applyBorder="1"/>
    <xf numFmtId="0" fontId="0" fillId="8" borderId="0" xfId="0" applyFill="1" applyProtection="1">
      <protection locked="0"/>
    </xf>
    <xf numFmtId="0" fontId="14" fillId="8" borderId="0" xfId="0" applyFont="1" applyFill="1" applyAlignment="1">
      <alignment horizontal="left" vertical="center" wrapText="1"/>
    </xf>
    <xf numFmtId="0" fontId="3" fillId="0" borderId="0" xfId="5" applyFont="1" applyBorder="1" applyAlignment="1" applyProtection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68" fillId="0" borderId="0" xfId="5" applyFont="1" applyBorder="1" applyAlignment="1" applyProtection="1">
      <alignment vertical="center" wrapText="1"/>
    </xf>
    <xf numFmtId="0" fontId="11" fillId="0" borderId="39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11" fillId="0" borderId="23" xfId="0" applyFont="1" applyBorder="1"/>
    <xf numFmtId="0" fontId="11" fillId="0" borderId="37" xfId="0" applyFont="1" applyBorder="1"/>
    <xf numFmtId="0" fontId="11" fillId="0" borderId="38" xfId="0" applyFont="1" applyBorder="1" applyAlignment="1">
      <alignment horizontal="center" vertical="center" wrapText="1"/>
    </xf>
    <xf numFmtId="0" fontId="22" fillId="0" borderId="39" xfId="0" applyFont="1" applyBorder="1" applyAlignment="1">
      <alignment vertical="center" wrapText="1"/>
    </xf>
    <xf numFmtId="0" fontId="11" fillId="0" borderId="39" xfId="0" applyFont="1" applyBorder="1" applyAlignment="1">
      <alignment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11" fillId="8" borderId="0" xfId="0" applyFont="1" applyFill="1" applyAlignment="1">
      <alignment horizontal="center" vertical="center" wrapText="1"/>
    </xf>
    <xf numFmtId="0" fontId="71" fillId="8" borderId="0" xfId="5" applyFont="1" applyFill="1" applyBorder="1" applyAlignment="1" applyProtection="1">
      <alignment vertical="center"/>
    </xf>
    <xf numFmtId="0" fontId="11" fillId="0" borderId="34" xfId="0" applyFont="1" applyBorder="1" applyAlignment="1">
      <alignment horizontal="center" vertical="center" wrapText="1"/>
    </xf>
    <xf numFmtId="0" fontId="11" fillId="0" borderId="35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 wrapText="1"/>
    </xf>
    <xf numFmtId="0" fontId="68" fillId="0" borderId="0" xfId="5" applyFont="1" applyFill="1" applyBorder="1" applyAlignment="1" applyProtection="1">
      <alignment vertical="center" wrapText="1"/>
    </xf>
    <xf numFmtId="0" fontId="69" fillId="0" borderId="0" xfId="5" applyFont="1" applyBorder="1" applyAlignment="1" applyProtection="1">
      <alignment horizontal="center" vertical="center" wrapText="1"/>
    </xf>
    <xf numFmtId="0" fontId="69" fillId="5" borderId="23" xfId="5" applyFont="1" applyFill="1" applyBorder="1" applyAlignment="1" applyProtection="1">
      <alignment horizontal="center" vertical="center" wrapText="1"/>
    </xf>
    <xf numFmtId="0" fontId="69" fillId="5" borderId="0" xfId="5" applyFont="1" applyFill="1" applyBorder="1" applyAlignment="1" applyProtection="1">
      <alignment horizontal="center" vertical="center" wrapText="1"/>
    </xf>
    <xf numFmtId="0" fontId="69" fillId="5" borderId="37" xfId="5" applyFont="1" applyFill="1" applyBorder="1" applyAlignment="1" applyProtection="1">
      <alignment horizontal="center" vertical="center" wrapText="1"/>
    </xf>
    <xf numFmtId="0" fontId="0" fillId="0" borderId="37" xfId="0" applyBorder="1" applyAlignment="1">
      <alignment horizontal="center" vertical="center" wrapText="1"/>
    </xf>
    <xf numFmtId="4" fontId="0" fillId="0" borderId="1" xfId="0" applyNumberFormat="1" applyBorder="1"/>
    <xf numFmtId="4" fontId="0" fillId="0" borderId="1" xfId="0" applyNumberFormat="1" applyBorder="1" applyAlignment="1">
      <alignment horizontal="center"/>
    </xf>
    <xf numFmtId="3" fontId="0" fillId="0" borderId="1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3" fontId="0" fillId="0" borderId="0" xfId="0" applyNumberFormat="1" applyAlignment="1">
      <alignment horizontal="center"/>
    </xf>
    <xf numFmtId="4" fontId="0" fillId="5" borderId="1" xfId="0" applyNumberFormat="1" applyFill="1" applyBorder="1" applyAlignment="1">
      <alignment horizontal="center"/>
    </xf>
    <xf numFmtId="4" fontId="12" fillId="8" borderId="0" xfId="0" applyNumberFormat="1" applyFont="1" applyFill="1" applyAlignment="1">
      <alignment horizontal="center" wrapText="1"/>
    </xf>
    <xf numFmtId="4" fontId="0" fillId="8" borderId="0" xfId="0" applyNumberFormat="1" applyFill="1" applyAlignment="1">
      <alignment horizontal="left"/>
    </xf>
    <xf numFmtId="4" fontId="11" fillId="8" borderId="0" xfId="0" applyNumberFormat="1" applyFont="1" applyFill="1" applyAlignment="1">
      <alignment wrapText="1"/>
    </xf>
    <xf numFmtId="0" fontId="2" fillId="0" borderId="0" xfId="0" applyFont="1" applyAlignment="1">
      <alignment horizontal="center"/>
    </xf>
    <xf numFmtId="169" fontId="0" fillId="0" borderId="0" xfId="8" applyNumberFormat="1" applyFont="1"/>
    <xf numFmtId="4" fontId="23" fillId="17" borderId="0" xfId="0" applyNumberFormat="1" applyFont="1" applyFill="1" applyAlignment="1">
      <alignment horizontal="left" vertical="center"/>
    </xf>
    <xf numFmtId="0" fontId="51" fillId="17" borderId="0" xfId="0" applyFont="1" applyFill="1" applyAlignment="1">
      <alignment horizontal="left" vertical="center"/>
    </xf>
    <xf numFmtId="0" fontId="67" fillId="26" borderId="31" xfId="5" applyFont="1" applyFill="1" applyBorder="1" applyAlignment="1" applyProtection="1">
      <alignment horizontal="center"/>
    </xf>
    <xf numFmtId="0" fontId="67" fillId="26" borderId="32" xfId="5" applyFont="1" applyFill="1" applyBorder="1" applyAlignment="1" applyProtection="1">
      <alignment horizontal="center"/>
    </xf>
    <xf numFmtId="0" fontId="67" fillId="26" borderId="33" xfId="5" applyFont="1" applyFill="1" applyBorder="1" applyAlignment="1" applyProtection="1">
      <alignment horizontal="center"/>
    </xf>
    <xf numFmtId="0" fontId="69" fillId="5" borderId="58" xfId="5" applyFont="1" applyFill="1" applyBorder="1" applyAlignment="1" applyProtection="1">
      <alignment horizontal="center" vertical="center" wrapText="1"/>
    </xf>
    <xf numFmtId="0" fontId="69" fillId="5" borderId="15" xfId="5" applyFont="1" applyFill="1" applyBorder="1" applyAlignment="1" applyProtection="1">
      <alignment horizontal="center" vertical="center" wrapText="1"/>
    </xf>
    <xf numFmtId="0" fontId="69" fillId="5" borderId="59" xfId="5" applyFont="1" applyFill="1" applyBorder="1" applyAlignment="1" applyProtection="1">
      <alignment horizontal="center" vertical="center" wrapText="1"/>
    </xf>
    <xf numFmtId="0" fontId="69" fillId="5" borderId="60" xfId="5" applyFont="1" applyFill="1" applyBorder="1" applyAlignment="1" applyProtection="1">
      <alignment horizontal="center" vertical="center" wrapText="1"/>
    </xf>
    <xf numFmtId="0" fontId="69" fillId="5" borderId="4" xfId="5" applyFont="1" applyFill="1" applyBorder="1" applyAlignment="1" applyProtection="1">
      <alignment horizontal="center" vertical="center" wrapText="1"/>
    </xf>
    <xf numFmtId="0" fontId="69" fillId="5" borderId="61" xfId="5" applyFont="1" applyFill="1" applyBorder="1" applyAlignment="1" applyProtection="1">
      <alignment horizontal="center" vertical="center" wrapText="1"/>
    </xf>
    <xf numFmtId="0" fontId="69" fillId="5" borderId="11" xfId="5" applyFont="1" applyFill="1" applyBorder="1" applyAlignment="1" applyProtection="1">
      <alignment horizontal="center" vertical="center" wrapText="1"/>
    </xf>
    <xf numFmtId="0" fontId="69" fillId="5" borderId="12" xfId="5" applyFont="1" applyFill="1" applyBorder="1" applyAlignment="1" applyProtection="1">
      <alignment horizontal="center" vertical="center" wrapText="1"/>
    </xf>
    <xf numFmtId="0" fontId="69" fillId="5" borderId="3" xfId="5" applyFont="1" applyFill="1" applyBorder="1" applyAlignment="1" applyProtection="1">
      <alignment horizontal="center" vertical="center" wrapText="1"/>
    </xf>
    <xf numFmtId="0" fontId="69" fillId="5" borderId="14" xfId="5" applyFont="1" applyFill="1" applyBorder="1" applyAlignment="1" applyProtection="1">
      <alignment horizontal="center" vertical="center" wrapText="1"/>
    </xf>
    <xf numFmtId="0" fontId="11" fillId="5" borderId="53" xfId="0" applyFont="1" applyFill="1" applyBorder="1" applyAlignment="1">
      <alignment horizontal="center" vertical="center"/>
    </xf>
    <xf numFmtId="0" fontId="11" fillId="5" borderId="10" xfId="0" applyFont="1" applyFill="1" applyBorder="1" applyAlignment="1">
      <alignment horizontal="center" vertical="center"/>
    </xf>
    <xf numFmtId="0" fontId="11" fillId="5" borderId="54" xfId="0" applyFont="1" applyFill="1" applyBorder="1" applyAlignment="1">
      <alignment horizontal="center" vertical="center"/>
    </xf>
    <xf numFmtId="0" fontId="11" fillId="5" borderId="55" xfId="0" applyFont="1" applyFill="1" applyBorder="1" applyAlignment="1">
      <alignment horizontal="center" vertical="center"/>
    </xf>
    <xf numFmtId="0" fontId="11" fillId="5" borderId="56" xfId="0" applyFont="1" applyFill="1" applyBorder="1" applyAlignment="1">
      <alignment horizontal="center" vertical="center"/>
    </xf>
    <xf numFmtId="0" fontId="11" fillId="5" borderId="57" xfId="0" applyFont="1" applyFill="1" applyBorder="1" applyAlignment="1">
      <alignment horizontal="center" vertical="center"/>
    </xf>
    <xf numFmtId="0" fontId="67" fillId="26" borderId="31" xfId="5" applyFont="1" applyFill="1" applyBorder="1" applyAlignment="1" applyProtection="1">
      <alignment horizontal="center" vertical="center"/>
    </xf>
    <xf numFmtId="0" fontId="67" fillId="26" borderId="32" xfId="5" applyFont="1" applyFill="1" applyBorder="1" applyAlignment="1" applyProtection="1">
      <alignment horizontal="center" vertical="center"/>
    </xf>
    <xf numFmtId="0" fontId="67" fillId="26" borderId="33" xfId="5" applyFont="1" applyFill="1" applyBorder="1" applyAlignment="1" applyProtection="1">
      <alignment horizontal="center" vertical="center"/>
    </xf>
    <xf numFmtId="0" fontId="11" fillId="5" borderId="58" xfId="0" applyFont="1" applyFill="1" applyBorder="1" applyAlignment="1">
      <alignment horizontal="center" vertical="center" wrapText="1"/>
    </xf>
    <xf numFmtId="0" fontId="11" fillId="5" borderId="12" xfId="0" applyFont="1" applyFill="1" applyBorder="1" applyAlignment="1">
      <alignment horizontal="center" vertical="center" wrapText="1"/>
    </xf>
    <xf numFmtId="0" fontId="11" fillId="5" borderId="60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center" vertical="center" wrapText="1"/>
    </xf>
    <xf numFmtId="0" fontId="11" fillId="5" borderId="8" xfId="0" applyFont="1" applyFill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69" fillId="26" borderId="34" xfId="5" applyFont="1" applyFill="1" applyBorder="1" applyAlignment="1" applyProtection="1">
      <alignment horizontal="center" vertical="center" wrapText="1"/>
    </xf>
    <xf numFmtId="0" fontId="69" fillId="26" borderId="36" xfId="5" applyFont="1" applyFill="1" applyBorder="1" applyAlignment="1" applyProtection="1">
      <alignment horizontal="center" vertical="center" wrapText="1"/>
    </xf>
    <xf numFmtId="0" fontId="69" fillId="26" borderId="23" xfId="5" applyFont="1" applyFill="1" applyBorder="1" applyAlignment="1" applyProtection="1">
      <alignment horizontal="center" vertical="center" wrapText="1"/>
    </xf>
    <xf numFmtId="0" fontId="69" fillId="26" borderId="37" xfId="5" applyFont="1" applyFill="1" applyBorder="1" applyAlignment="1" applyProtection="1">
      <alignment horizontal="center" vertical="center" wrapText="1"/>
    </xf>
    <xf numFmtId="0" fontId="70" fillId="26" borderId="34" xfId="5" applyFont="1" applyFill="1" applyBorder="1" applyAlignment="1" applyProtection="1">
      <alignment horizontal="center" vertical="center" wrapText="1"/>
    </xf>
    <xf numFmtId="0" fontId="70" fillId="26" borderId="35" xfId="5" applyFont="1" applyFill="1" applyBorder="1" applyAlignment="1" applyProtection="1">
      <alignment horizontal="center" vertical="center" wrapText="1"/>
    </xf>
    <xf numFmtId="0" fontId="70" fillId="26" borderId="36" xfId="5" applyFont="1" applyFill="1" applyBorder="1" applyAlignment="1" applyProtection="1">
      <alignment horizontal="center" vertical="center" wrapText="1"/>
    </xf>
    <xf numFmtId="0" fontId="70" fillId="26" borderId="23" xfId="5" applyFont="1" applyFill="1" applyBorder="1" applyAlignment="1" applyProtection="1">
      <alignment horizontal="center" vertical="center" wrapText="1"/>
    </xf>
    <xf numFmtId="0" fontId="70" fillId="26" borderId="0" xfId="5" applyFont="1" applyFill="1" applyBorder="1" applyAlignment="1" applyProtection="1">
      <alignment horizontal="center" vertical="center" wrapText="1"/>
    </xf>
    <xf numFmtId="0" fontId="70" fillId="26" borderId="37" xfId="5" applyFont="1" applyFill="1" applyBorder="1" applyAlignment="1" applyProtection="1">
      <alignment horizontal="center" vertical="center" wrapText="1"/>
    </xf>
    <xf numFmtId="0" fontId="11" fillId="5" borderId="43" xfId="0" applyFont="1" applyFill="1" applyBorder="1" applyAlignment="1">
      <alignment horizontal="center" vertical="center" wrapText="1"/>
    </xf>
    <xf numFmtId="0" fontId="11" fillId="5" borderId="48" xfId="0" applyFont="1" applyFill="1" applyBorder="1" applyAlignment="1">
      <alignment horizontal="center" vertical="center" wrapText="1"/>
    </xf>
    <xf numFmtId="0" fontId="11" fillId="5" borderId="44" xfId="0" applyFont="1" applyFill="1" applyBorder="1" applyAlignment="1">
      <alignment horizontal="center" vertical="center" wrapText="1"/>
    </xf>
    <xf numFmtId="0" fontId="11" fillId="5" borderId="49" xfId="0" applyFont="1" applyFill="1" applyBorder="1" applyAlignment="1">
      <alignment horizontal="center" vertical="center" wrapText="1"/>
    </xf>
    <xf numFmtId="0" fontId="11" fillId="5" borderId="45" xfId="0" applyFont="1" applyFill="1" applyBorder="1" applyAlignment="1">
      <alignment horizontal="center" vertical="center" wrapText="1"/>
    </xf>
    <xf numFmtId="0" fontId="11" fillId="5" borderId="50" xfId="0" applyFont="1" applyFill="1" applyBorder="1" applyAlignment="1">
      <alignment horizontal="center" vertical="center" wrapText="1"/>
    </xf>
    <xf numFmtId="0" fontId="11" fillId="5" borderId="46" xfId="0" applyFont="1" applyFill="1" applyBorder="1" applyAlignment="1">
      <alignment horizontal="center" vertical="center" wrapText="1"/>
    </xf>
    <xf numFmtId="0" fontId="11" fillId="5" borderId="47" xfId="0" applyFont="1" applyFill="1" applyBorder="1" applyAlignment="1">
      <alignment horizontal="center" vertical="center" wrapText="1"/>
    </xf>
    <xf numFmtId="0" fontId="11" fillId="5" borderId="51" xfId="0" applyFont="1" applyFill="1" applyBorder="1" applyAlignment="1">
      <alignment horizontal="center" vertical="center" wrapText="1"/>
    </xf>
    <xf numFmtId="0" fontId="11" fillId="5" borderId="52" xfId="0" applyFont="1" applyFill="1" applyBorder="1" applyAlignment="1">
      <alignment horizontal="center" vertical="center" wrapText="1"/>
    </xf>
    <xf numFmtId="0" fontId="11" fillId="5" borderId="34" xfId="0" applyFont="1" applyFill="1" applyBorder="1" applyAlignment="1">
      <alignment horizontal="center" vertical="center"/>
    </xf>
    <xf numFmtId="0" fontId="11" fillId="5" borderId="35" xfId="0" applyFont="1" applyFill="1" applyBorder="1" applyAlignment="1">
      <alignment horizontal="center" vertical="center"/>
    </xf>
    <xf numFmtId="0" fontId="11" fillId="5" borderId="36" xfId="0" applyFont="1" applyFill="1" applyBorder="1" applyAlignment="1">
      <alignment horizontal="center" vertical="center"/>
    </xf>
    <xf numFmtId="0" fontId="11" fillId="5" borderId="23" xfId="0" applyFont="1" applyFill="1" applyBorder="1" applyAlignment="1">
      <alignment horizontal="center" vertical="center"/>
    </xf>
    <xf numFmtId="0" fontId="11" fillId="5" borderId="0" xfId="0" applyFont="1" applyFill="1" applyAlignment="1">
      <alignment horizontal="center" vertical="center"/>
    </xf>
    <xf numFmtId="0" fontId="11" fillId="5" borderId="37" xfId="0" applyFont="1" applyFill="1" applyBorder="1" applyAlignment="1">
      <alignment horizontal="center" vertical="center"/>
    </xf>
    <xf numFmtId="0" fontId="11" fillId="5" borderId="38" xfId="0" applyFont="1" applyFill="1" applyBorder="1" applyAlignment="1">
      <alignment horizontal="center" vertical="center"/>
    </xf>
    <xf numFmtId="0" fontId="11" fillId="5" borderId="39" xfId="0" applyFont="1" applyFill="1" applyBorder="1" applyAlignment="1">
      <alignment horizontal="center" vertical="center"/>
    </xf>
    <xf numFmtId="0" fontId="11" fillId="5" borderId="40" xfId="0" applyFont="1" applyFill="1" applyBorder="1" applyAlignment="1">
      <alignment horizontal="center" vertical="center"/>
    </xf>
    <xf numFmtId="0" fontId="67" fillId="26" borderId="31" xfId="5" applyFont="1" applyFill="1" applyBorder="1" applyAlignment="1" applyProtection="1">
      <alignment horizontal="center" vertical="center" wrapText="1"/>
    </xf>
    <xf numFmtId="0" fontId="67" fillId="26" borderId="32" xfId="5" applyFont="1" applyFill="1" applyBorder="1" applyAlignment="1" applyProtection="1">
      <alignment horizontal="center" vertical="center" wrapText="1"/>
    </xf>
    <xf numFmtId="0" fontId="67" fillId="26" borderId="33" xfId="5" applyFont="1" applyFill="1" applyBorder="1" applyAlignment="1" applyProtection="1">
      <alignment horizontal="center" vertical="center" wrapText="1"/>
    </xf>
    <xf numFmtId="0" fontId="11" fillId="5" borderId="4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1" fillId="5" borderId="42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69" fillId="0" borderId="2" xfId="5" applyFont="1" applyBorder="1" applyAlignment="1">
      <alignment horizontal="center" vertical="center" wrapText="1"/>
    </xf>
    <xf numFmtId="0" fontId="69" fillId="0" borderId="0" xfId="5" applyFont="1" applyBorder="1" applyAlignment="1">
      <alignment horizontal="center" vertical="center" wrapText="1"/>
    </xf>
    <xf numFmtId="0" fontId="69" fillId="0" borderId="13" xfId="5" applyFont="1" applyBorder="1" applyAlignment="1">
      <alignment horizontal="center" vertical="center" wrapText="1"/>
    </xf>
    <xf numFmtId="0" fontId="69" fillId="0" borderId="3" xfId="5" applyFont="1" applyBorder="1" applyAlignment="1">
      <alignment horizontal="center" vertical="center" wrapText="1"/>
    </xf>
    <xf numFmtId="0" fontId="69" fillId="0" borderId="4" xfId="5" applyFont="1" applyBorder="1" applyAlignment="1">
      <alignment horizontal="center" vertical="center" wrapText="1"/>
    </xf>
    <xf numFmtId="0" fontId="69" fillId="0" borderId="14" xfId="5" applyFont="1" applyBorder="1" applyAlignment="1">
      <alignment horizontal="center" vertical="center" wrapText="1"/>
    </xf>
    <xf numFmtId="0" fontId="68" fillId="0" borderId="0" xfId="5" applyFont="1" applyFill="1" applyBorder="1" applyAlignment="1" applyProtection="1">
      <alignment horizontal="center" vertical="center" wrapText="1"/>
    </xf>
    <xf numFmtId="0" fontId="47" fillId="16" borderId="0" xfId="0" applyFont="1" applyFill="1" applyAlignment="1">
      <alignment horizontal="left" vertical="center" wrapText="1"/>
    </xf>
    <xf numFmtId="0" fontId="8" fillId="0" borderId="0" xfId="5" applyFill="1" applyBorder="1" applyAlignment="1" applyProtection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3" fillId="0" borderId="2" xfId="5" applyFont="1" applyBorder="1" applyAlignment="1">
      <alignment horizontal="center" vertical="center" wrapText="1"/>
    </xf>
    <xf numFmtId="0" fontId="3" fillId="0" borderId="0" xfId="5" applyFont="1" applyBorder="1" applyAlignment="1">
      <alignment horizontal="center" vertical="center" wrapText="1"/>
    </xf>
    <xf numFmtId="0" fontId="3" fillId="0" borderId="13" xfId="5" applyFont="1" applyBorder="1" applyAlignment="1">
      <alignment horizontal="center" vertical="center" wrapText="1"/>
    </xf>
    <xf numFmtId="0" fontId="3" fillId="0" borderId="3" xfId="5" applyFont="1" applyBorder="1" applyAlignment="1">
      <alignment horizontal="center" vertical="center" wrapText="1"/>
    </xf>
    <xf numFmtId="0" fontId="3" fillId="0" borderId="4" xfId="5" applyFont="1" applyBorder="1" applyAlignment="1">
      <alignment horizontal="center" vertical="center" wrapText="1"/>
    </xf>
    <xf numFmtId="0" fontId="3" fillId="0" borderId="14" xfId="5" applyFont="1" applyBorder="1" applyAlignment="1">
      <alignment horizontal="center" vertical="center" wrapText="1"/>
    </xf>
    <xf numFmtId="0" fontId="26" fillId="19" borderId="5" xfId="5" applyFont="1" applyFill="1" applyBorder="1" applyAlignment="1">
      <alignment horizontal="center" vertical="center"/>
    </xf>
    <xf numFmtId="0" fontId="26" fillId="19" borderId="7" xfId="5" applyFont="1" applyFill="1" applyBorder="1" applyAlignment="1">
      <alignment horizontal="center" vertical="center"/>
    </xf>
    <xf numFmtId="0" fontId="26" fillId="19" borderId="6" xfId="5" applyFont="1" applyFill="1" applyBorder="1" applyAlignment="1">
      <alignment horizontal="center" vertical="center"/>
    </xf>
    <xf numFmtId="0" fontId="3" fillId="8" borderId="0" xfId="5" applyFont="1" applyFill="1" applyBorder="1" applyAlignment="1">
      <alignment horizontal="center" vertical="center" wrapText="1"/>
    </xf>
    <xf numFmtId="0" fontId="3" fillId="8" borderId="13" xfId="5" applyFont="1" applyFill="1" applyBorder="1" applyAlignment="1">
      <alignment horizontal="center" vertical="center" wrapText="1"/>
    </xf>
    <xf numFmtId="0" fontId="3" fillId="8" borderId="4" xfId="5" applyFont="1" applyFill="1" applyBorder="1" applyAlignment="1">
      <alignment horizontal="center" vertical="center" wrapText="1"/>
    </xf>
    <xf numFmtId="0" fontId="3" fillId="8" borderId="14" xfId="5" applyFont="1" applyFill="1" applyBorder="1" applyAlignment="1">
      <alignment horizontal="center" vertical="center" wrapText="1"/>
    </xf>
    <xf numFmtId="0" fontId="26" fillId="7" borderId="5" xfId="5" applyFont="1" applyFill="1" applyBorder="1" applyAlignment="1">
      <alignment horizontal="center" vertical="center" wrapText="1"/>
    </xf>
    <xf numFmtId="0" fontId="26" fillId="7" borderId="7" xfId="5" applyFont="1" applyFill="1" applyBorder="1" applyAlignment="1">
      <alignment horizontal="center" vertical="center" wrapText="1"/>
    </xf>
    <xf numFmtId="0" fontId="26" fillId="7" borderId="6" xfId="5" applyFont="1" applyFill="1" applyBorder="1" applyAlignment="1">
      <alignment horizontal="center" vertical="center" wrapText="1"/>
    </xf>
    <xf numFmtId="0" fontId="26" fillId="3" borderId="5" xfId="5" applyFont="1" applyFill="1" applyBorder="1" applyAlignment="1">
      <alignment horizontal="center" vertical="center"/>
    </xf>
    <xf numFmtId="0" fontId="26" fillId="3" borderId="7" xfId="5" applyFont="1" applyFill="1" applyBorder="1" applyAlignment="1">
      <alignment horizontal="center" vertical="center"/>
    </xf>
    <xf numFmtId="0" fontId="26" fillId="3" borderId="6" xfId="5" applyFont="1" applyFill="1" applyBorder="1" applyAlignment="1">
      <alignment horizontal="center" vertical="center"/>
    </xf>
    <xf numFmtId="0" fontId="3" fillId="0" borderId="11" xfId="5" applyFont="1" applyBorder="1" applyAlignment="1">
      <alignment horizontal="center" vertical="center" wrapText="1"/>
    </xf>
    <xf numFmtId="0" fontId="3" fillId="0" borderId="12" xfId="5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4" xfId="0" applyBorder="1" applyAlignment="1">
      <alignment horizontal="left" vertical="center" wrapText="1"/>
    </xf>
    <xf numFmtId="0" fontId="26" fillId="5" borderId="5" xfId="5" applyFont="1" applyFill="1" applyBorder="1" applyAlignment="1">
      <alignment horizontal="center" vertical="center"/>
    </xf>
    <xf numFmtId="0" fontId="26" fillId="5" borderId="7" xfId="5" applyFont="1" applyFill="1" applyBorder="1" applyAlignment="1">
      <alignment horizontal="center" vertical="center"/>
    </xf>
    <xf numFmtId="0" fontId="26" fillId="5" borderId="6" xfId="5" applyFont="1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26" fillId="6" borderId="5" xfId="5" applyFont="1" applyFill="1" applyBorder="1" applyAlignment="1">
      <alignment horizontal="center" vertical="center" wrapText="1"/>
    </xf>
    <xf numFmtId="0" fontId="35" fillId="6" borderId="7" xfId="5" applyFont="1" applyFill="1" applyBorder="1" applyAlignment="1">
      <alignment horizontal="center" vertical="center" wrapText="1"/>
    </xf>
    <xf numFmtId="0" fontId="35" fillId="6" borderId="6" xfId="5" applyFont="1" applyFill="1" applyBorder="1" applyAlignment="1">
      <alignment horizontal="center" vertical="center" wrapText="1"/>
    </xf>
    <xf numFmtId="0" fontId="3" fillId="0" borderId="5" xfId="5" applyFont="1" applyBorder="1" applyAlignment="1">
      <alignment horizontal="center" vertical="center" wrapText="1"/>
    </xf>
    <xf numFmtId="0" fontId="3" fillId="0" borderId="7" xfId="5" applyFont="1" applyBorder="1" applyAlignment="1">
      <alignment horizontal="center" vertical="center" wrapText="1"/>
    </xf>
    <xf numFmtId="0" fontId="3" fillId="0" borderId="6" xfId="5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3" fillId="0" borderId="15" xfId="5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41" fillId="0" borderId="0" xfId="4" applyFont="1" applyAlignment="1">
      <alignment horizontal="left" vertical="top" wrapText="1" indent="5"/>
    </xf>
    <xf numFmtId="4" fontId="0" fillId="0" borderId="0" xfId="0" applyNumberFormat="1" applyAlignment="1" applyProtection="1">
      <alignment horizontal="center" vertical="center"/>
      <protection locked="0"/>
    </xf>
    <xf numFmtId="0" fontId="40" fillId="0" borderId="0" xfId="4" applyFont="1" applyAlignment="1">
      <alignment horizontal="center" vertical="center" wrapText="1"/>
    </xf>
    <xf numFmtId="166" fontId="0" fillId="0" borderId="0" xfId="0" applyNumberFormat="1" applyAlignment="1" applyProtection="1">
      <alignment horizontal="center" vertical="center"/>
      <protection locked="0"/>
    </xf>
    <xf numFmtId="4" fontId="37" fillId="18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4" fontId="23" fillId="17" borderId="23" xfId="0" applyNumberFormat="1" applyFont="1" applyFill="1" applyBorder="1" applyAlignment="1" applyProtection="1">
      <alignment horizontal="left" vertical="center"/>
      <protection locked="0"/>
    </xf>
    <xf numFmtId="4" fontId="2" fillId="1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 applyProtection="1">
      <protection locked="0"/>
    </xf>
    <xf numFmtId="0" fontId="0" fillId="0" borderId="1" xfId="0" applyBorder="1" applyProtection="1">
      <protection locked="0"/>
    </xf>
    <xf numFmtId="4" fontId="2" fillId="10" borderId="5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Border="1" applyProtection="1">
      <protection locked="0"/>
    </xf>
    <xf numFmtId="4" fontId="2" fillId="10" borderId="3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Border="1" applyProtection="1">
      <protection locked="0"/>
    </xf>
    <xf numFmtId="4" fontId="2" fillId="5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6" xfId="0" applyBorder="1" applyProtection="1">
      <protection locked="0"/>
    </xf>
    <xf numFmtId="4" fontId="2" fillId="0" borderId="4" xfId="0" applyNumberFormat="1" applyFont="1" applyBorder="1" applyAlignment="1" applyProtection="1">
      <alignment horizontal="center"/>
      <protection locked="0"/>
    </xf>
    <xf numFmtId="4" fontId="2" fillId="10" borderId="8" xfId="0" applyNumberFormat="1" applyFont="1" applyFill="1" applyBorder="1" applyAlignment="1" applyProtection="1">
      <alignment horizontal="center" vertical="center" wrapText="1"/>
      <protection locked="0"/>
    </xf>
    <xf numFmtId="4" fontId="2" fillId="10" borderId="10" xfId="0" applyNumberFormat="1" applyFont="1" applyFill="1" applyBorder="1" applyAlignment="1" applyProtection="1">
      <alignment horizontal="center" vertical="center" wrapText="1"/>
      <protection locked="0"/>
    </xf>
    <xf numFmtId="0" fontId="2" fillId="8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0" fillId="17" borderId="0" xfId="0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4" fontId="0" fillId="0" borderId="0" xfId="0" applyNumberFormat="1" applyAlignment="1">
      <alignment vertical="center"/>
    </xf>
    <xf numFmtId="4" fontId="23" fillId="17" borderId="23" xfId="0" applyNumberFormat="1" applyFont="1" applyFill="1" applyBorder="1" applyAlignment="1">
      <alignment horizontal="left" vertical="center"/>
    </xf>
    <xf numFmtId="0" fontId="0" fillId="17" borderId="0" xfId="0" applyFill="1" applyAlignment="1">
      <alignment horizontal="left"/>
    </xf>
    <xf numFmtId="0" fontId="2" fillId="2" borderId="1" xfId="0" applyFont="1" applyFill="1" applyBorder="1" applyAlignment="1">
      <alignment horizontal="center" vertical="center"/>
    </xf>
    <xf numFmtId="3" fontId="2" fillId="4" borderId="5" xfId="0" applyNumberFormat="1" applyFont="1" applyFill="1" applyBorder="1" applyAlignment="1">
      <alignment horizontal="center" vertical="center" wrapText="1"/>
    </xf>
    <xf numFmtId="3" fontId="2" fillId="4" borderId="6" xfId="0" applyNumberFormat="1" applyFont="1" applyFill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/>
    </xf>
    <xf numFmtId="3" fontId="2" fillId="4" borderId="11" xfId="0" applyNumberFormat="1" applyFont="1" applyFill="1" applyBorder="1" applyAlignment="1">
      <alignment horizontal="center" vertical="center" wrapText="1"/>
    </xf>
    <xf numFmtId="3" fontId="2" fillId="4" borderId="12" xfId="0" applyNumberFormat="1" applyFont="1" applyFill="1" applyBorder="1" applyAlignment="1">
      <alignment horizontal="center" vertical="center" wrapText="1"/>
    </xf>
    <xf numFmtId="3" fontId="2" fillId="4" borderId="3" xfId="0" applyNumberFormat="1" applyFont="1" applyFill="1" applyBorder="1" applyAlignment="1">
      <alignment horizontal="center" vertical="center" wrapText="1"/>
    </xf>
    <xf numFmtId="3" fontId="2" fillId="4" borderId="14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3" fontId="2" fillId="4" borderId="1" xfId="0" applyNumberFormat="1" applyFont="1" applyFill="1" applyBorder="1" applyAlignment="1">
      <alignment horizontal="center" vertical="center" wrapText="1"/>
    </xf>
    <xf numFmtId="3" fontId="0" fillId="0" borderId="12" xfId="0" applyNumberFormat="1" applyBorder="1" applyAlignment="1">
      <alignment horizontal="left" vertical="center"/>
    </xf>
    <xf numFmtId="3" fontId="0" fillId="0" borderId="14" xfId="0" applyNumberFormat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wrapText="1"/>
    </xf>
    <xf numFmtId="3" fontId="0" fillId="0" borderId="12" xfId="0" applyNumberFormat="1" applyBorder="1" applyAlignment="1">
      <alignment horizontal="left" vertical="center" wrapText="1"/>
    </xf>
    <xf numFmtId="3" fontId="0" fillId="0" borderId="14" xfId="0" applyNumberFormat="1" applyBorder="1" applyAlignment="1">
      <alignment horizontal="left" vertical="center" wrapText="1"/>
    </xf>
    <xf numFmtId="0" fontId="31" fillId="0" borderId="8" xfId="0" applyFont="1" applyBorder="1" applyAlignment="1">
      <alignment horizontal="center" vertical="center" wrapText="1"/>
    </xf>
    <xf numFmtId="0" fontId="29" fillId="4" borderId="1" xfId="0" quotePrefix="1" applyFont="1" applyFill="1" applyBorder="1" applyAlignment="1">
      <alignment horizontal="center" vertical="center" wrapText="1"/>
    </xf>
    <xf numFmtId="0" fontId="0" fillId="0" borderId="6" xfId="0" applyBorder="1"/>
    <xf numFmtId="4" fontId="0" fillId="21" borderId="1" xfId="0" applyNumberFormat="1" applyFill="1" applyBorder="1" applyAlignment="1">
      <alignment horizontal="left"/>
    </xf>
    <xf numFmtId="0" fontId="0" fillId="0" borderId="7" xfId="0" applyBorder="1"/>
    <xf numFmtId="4" fontId="0" fillId="8" borderId="0" xfId="0" applyNumberFormat="1" applyFill="1" applyAlignment="1">
      <alignment horizontal="center" wrapText="1"/>
    </xf>
    <xf numFmtId="3" fontId="2" fillId="8" borderId="0" xfId="0" applyNumberFormat="1" applyFont="1" applyFill="1" applyAlignment="1">
      <alignment horizontal="center" vertical="center" wrapText="1"/>
    </xf>
    <xf numFmtId="4" fontId="0" fillId="0" borderId="0" xfId="0" applyNumberFormat="1"/>
    <xf numFmtId="4" fontId="0" fillId="17" borderId="0" xfId="0" applyNumberFormat="1" applyFill="1" applyAlignment="1">
      <alignment horizontal="left"/>
    </xf>
    <xf numFmtId="4" fontId="0" fillId="0" borderId="0" xfId="0" applyNumberFormat="1" applyAlignment="1">
      <alignment horizontal="center"/>
    </xf>
    <xf numFmtId="4" fontId="12" fillId="4" borderId="1" xfId="0" applyNumberFormat="1" applyFont="1" applyFill="1" applyBorder="1" applyAlignment="1">
      <alignment horizontal="center" wrapText="1"/>
    </xf>
    <xf numFmtId="4" fontId="0" fillId="0" borderId="1" xfId="0" applyNumberFormat="1" applyBorder="1" applyAlignment="1">
      <alignment horizontal="center" textRotation="1" wrapText="1"/>
    </xf>
    <xf numFmtId="4" fontId="0" fillId="0" borderId="1" xfId="0" applyNumberFormat="1" applyBorder="1" applyAlignment="1">
      <alignment horizontal="center" textRotation="1"/>
    </xf>
    <xf numFmtId="4" fontId="12" fillId="4" borderId="5" xfId="0" applyNumberFormat="1" applyFont="1" applyFill="1" applyBorder="1" applyAlignment="1">
      <alignment horizontal="center" wrapText="1"/>
    </xf>
    <xf numFmtId="4" fontId="12" fillId="4" borderId="6" xfId="0" applyNumberFormat="1" applyFont="1" applyFill="1" applyBorder="1" applyAlignment="1">
      <alignment horizontal="center" wrapText="1"/>
    </xf>
    <xf numFmtId="0" fontId="37" fillId="17" borderId="0" xfId="0" applyFont="1" applyFill="1" applyAlignment="1">
      <alignment horizontal="left"/>
    </xf>
    <xf numFmtId="0" fontId="33" fillId="5" borderId="1" xfId="0" applyFont="1" applyFill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9" fillId="5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 wrapText="1"/>
    </xf>
    <xf numFmtId="0" fontId="33" fillId="17" borderId="0" xfId="0" applyFont="1" applyFill="1" applyAlignment="1">
      <alignment horizontal="left" vertical="center"/>
    </xf>
    <xf numFmtId="0" fontId="33" fillId="3" borderId="1" xfId="0" applyFont="1" applyFill="1" applyBorder="1" applyAlignment="1">
      <alignment horizontal="center" vertical="center" wrapText="1"/>
    </xf>
    <xf numFmtId="0" fontId="33" fillId="9" borderId="10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4" xfId="0" applyBorder="1"/>
    <xf numFmtId="0" fontId="33" fillId="5" borderId="10" xfId="0" applyFont="1" applyFill="1" applyBorder="1" applyAlignment="1">
      <alignment horizontal="center" vertical="center" wrapText="1"/>
    </xf>
    <xf numFmtId="0" fontId="33" fillId="5" borderId="8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12" xfId="0" applyBorder="1"/>
    <xf numFmtId="0" fontId="33" fillId="3" borderId="1" xfId="0" applyFont="1" applyFill="1" applyBorder="1" applyAlignment="1">
      <alignment horizontal="center" vertical="center"/>
    </xf>
    <xf numFmtId="0" fontId="33" fillId="17" borderId="0" xfId="0" applyFont="1" applyFill="1" applyAlignment="1">
      <alignment horizontal="center" vertical="center"/>
    </xf>
    <xf numFmtId="0" fontId="33" fillId="9" borderId="1" xfId="0" applyFont="1" applyFill="1" applyBorder="1" applyAlignment="1">
      <alignment horizontal="center" vertical="center" wrapText="1"/>
    </xf>
    <xf numFmtId="4" fontId="23" fillId="22" borderId="31" xfId="0" applyNumberFormat="1" applyFont="1" applyFill="1" applyBorder="1" applyAlignment="1">
      <alignment horizontal="center" vertical="center"/>
    </xf>
    <xf numFmtId="4" fontId="23" fillId="22" borderId="32" xfId="0" applyNumberFormat="1" applyFont="1" applyFill="1" applyBorder="1" applyAlignment="1">
      <alignment horizontal="center" vertical="center"/>
    </xf>
    <xf numFmtId="4" fontId="23" fillId="22" borderId="33" xfId="0" applyNumberFormat="1" applyFont="1" applyFill="1" applyBorder="1" applyAlignment="1">
      <alignment horizontal="center" vertical="center"/>
    </xf>
    <xf numFmtId="0" fontId="59" fillId="21" borderId="5" xfId="0" applyFont="1" applyFill="1" applyBorder="1" applyAlignment="1">
      <alignment horizontal="center" vertical="center" wrapText="1"/>
    </xf>
    <xf numFmtId="0" fontId="59" fillId="21" borderId="6" xfId="0" applyFont="1" applyFill="1" applyBorder="1" applyAlignment="1">
      <alignment horizontal="center" vertical="center" wrapText="1"/>
    </xf>
    <xf numFmtId="0" fontId="64" fillId="0" borderId="0" xfId="0" applyFont="1" applyAlignment="1">
      <alignment horizontal="center"/>
    </xf>
    <xf numFmtId="0" fontId="53" fillId="0" borderId="30" xfId="0" applyFont="1" applyBorder="1" applyAlignment="1">
      <alignment vertical="center" wrapText="1"/>
    </xf>
    <xf numFmtId="0" fontId="0" fillId="0" borderId="27" xfId="0" applyBorder="1"/>
    <xf numFmtId="0" fontId="0" fillId="0" borderId="26" xfId="0" applyBorder="1"/>
    <xf numFmtId="0" fontId="22" fillId="14" borderId="1" xfId="0" applyFont="1" applyFill="1" applyBorder="1" applyAlignment="1">
      <alignment horizontal="center" vertical="center" wrapText="1"/>
    </xf>
    <xf numFmtId="0" fontId="19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/>
    </xf>
    <xf numFmtId="0" fontId="0" fillId="17" borderId="0" xfId="0" applyFill="1"/>
    <xf numFmtId="0" fontId="0" fillId="0" borderId="0" xfId="0"/>
    <xf numFmtId="0" fontId="53" fillId="0" borderId="29" xfId="0" applyFont="1" applyBorder="1" applyAlignment="1">
      <alignment vertical="center" wrapText="1"/>
    </xf>
    <xf numFmtId="0" fontId="14" fillId="20" borderId="1" xfId="0" applyFont="1" applyFill="1" applyBorder="1" applyAlignment="1">
      <alignment horizontal="center"/>
    </xf>
  </cellXfs>
  <cellStyles count="9">
    <cellStyle name="Hiperligação" xfId="2" builtinId="8"/>
    <cellStyle name="Hiperligação 2" xfId="5" xr:uid="{18B9CF5F-EF48-4FA1-9646-69D1BBF93983}"/>
    <cellStyle name="Normal" xfId="0" builtinId="0"/>
    <cellStyle name="Normal 2" xfId="1" xr:uid="{00000000-0005-0000-0000-000001000000}"/>
    <cellStyle name="Normal 3" xfId="3" xr:uid="{00000000-0005-0000-0000-000003000000}"/>
    <cellStyle name="Normal 4" xfId="4" xr:uid="{00000000-0005-0000-0000-000004000000}"/>
    <cellStyle name="Normal 4 2" xfId="7" xr:uid="{E6E919F5-4CE8-44C9-A630-EC89BE880AD3}"/>
    <cellStyle name="Percentagem" xfId="8" builtinId="5"/>
    <cellStyle name="Vírgula" xfId="6" builtinId="3"/>
  </cellStyles>
  <dxfs count="17">
    <dxf>
      <font>
        <color rgb="FF9C0006"/>
      </font>
    </dxf>
    <dxf>
      <font>
        <color theme="9" tint="-0.24994659260841701"/>
      </font>
    </dxf>
    <dxf>
      <font>
        <color theme="9" tint="-0.24994659260841701"/>
      </font>
    </dxf>
    <dxf>
      <font>
        <strike val="0"/>
        <outline val="0"/>
        <shadow val="0"/>
        <sz val="11"/>
        <name val="Calibri"/>
        <scheme val="minor"/>
      </font>
      <numFmt numFmtId="3" formatCode="#,##0"/>
      <fill>
        <patternFill patternType="solid">
          <fgColor indexed="64"/>
          <bgColor theme="7" tint="0.59999389629810485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sz val="1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Calibri"/>
        <scheme val="minor"/>
      </font>
      <numFmt numFmtId="4" formatCode="#,##0.00"/>
      <fill>
        <patternFill patternType="solid">
          <fgColor indexed="64"/>
          <bgColor theme="8" tint="0.79998168889431442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center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Calibri"/>
        <scheme val="minor"/>
      </font>
      <numFmt numFmtId="3" formatCode="#,##0"/>
      <fill>
        <patternFill patternType="solid">
          <fgColor indexed="64"/>
          <bgColor theme="8" tint="0.79998168889431442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sz val="11"/>
        <name val="Calibri"/>
        <scheme val="minor"/>
      </font>
      <numFmt numFmtId="3" formatCode="#,##0"/>
      <fill>
        <patternFill patternType="solid">
          <fgColor indexed="64"/>
          <bgColor theme="8" tint="0.79998168889431442"/>
        </patternFill>
      </fill>
      <alignment horizontal="center" vertical="center" wrapText="1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rgb="FFE6D6F4"/>
        </patternFill>
      </fill>
      <alignment horizontal="center" vertical="center"/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condense val="0"/>
        <extend val="0"/>
        <outline val="0"/>
        <shadow val="0"/>
        <vertAlign val="baseline"/>
        <sz val="11"/>
        <color theme="1"/>
        <name val="Calibri"/>
        <scheme val="minor"/>
      </font>
      <numFmt numFmtId="3" formatCode="#,##0"/>
      <fill>
        <patternFill patternType="solid">
          <fgColor indexed="64"/>
          <bgColor theme="8" tint="0.79998168889431442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4" tint="0.59999389629810485"/>
        </patternFill>
      </fill>
      <alignment horizontal="center" vertical="center" wrapText="1"/>
      <border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sz val="11"/>
        <name val="Calibri"/>
        <scheme val="minor"/>
      </font>
      <numFmt numFmtId="3" formatCode="#,##0"/>
      <alignment vertical="center"/>
    </dxf>
    <dxf>
      <border>
        <bottom style="thin">
          <color indexed="64"/>
        </bottom>
      </border>
    </dxf>
    <dxf>
      <font>
        <b/>
        <strike val="0"/>
        <condense val="0"/>
        <extend val="0"/>
        <outline val="0"/>
        <shadow val="0"/>
        <vertAlign val="baseline"/>
        <sz val="11"/>
        <color auto="1"/>
        <name val="Calibri"/>
        <scheme val="minor"/>
      </font>
      <numFmt numFmtId="3" formatCode="#,##0"/>
      <fill>
        <patternFill patternType="solid">
          <fgColor indexed="64"/>
          <bgColor theme="4" tint="0.59999389629810485"/>
        </patternFill>
      </fill>
      <alignment horizontal="center" vertical="center" wrapText="1"/>
      <border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Resultados_linhas!$G$15</c:f>
              <c:strCache>
                <c:ptCount val="1"/>
                <c:pt idx="0">
                  <c:v>A - Estabelecimento da faixa de servidão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Resultados_linhas!$H$14</c:f>
              <c:strCache>
                <c:ptCount val="1"/>
                <c:pt idx="0">
                  <c:v>Balanço de Emissões (t CO2e)</c:v>
                </c:pt>
              </c:strCache>
            </c:strRef>
          </c:cat>
          <c:val>
            <c:numRef>
              <c:f>Resultados_linhas!$H$15</c:f>
              <c:numCache>
                <c:formatCode>#,##0.00</c:formatCode>
                <c:ptCount val="1"/>
                <c:pt idx="0">
                  <c:v>632.65425126645425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E88-4CF4-B59E-2441775BC4AD}"/>
            </c:ext>
          </c:extLst>
        </c:ser>
        <c:ser>
          <c:idx val="1"/>
          <c:order val="1"/>
          <c:tx>
            <c:strRef>
              <c:f>Resultados_linhas!$G$16</c:f>
              <c:strCache>
                <c:ptCount val="1"/>
                <c:pt idx="0">
                  <c:v>B - Construção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Resultados_linhas!$H$14</c:f>
              <c:strCache>
                <c:ptCount val="1"/>
                <c:pt idx="0">
                  <c:v>Balanço de Emissões (t CO2e)</c:v>
                </c:pt>
              </c:strCache>
            </c:strRef>
          </c:cat>
          <c:val>
            <c:numRef>
              <c:f>Resultados_linhas!$H$16</c:f>
              <c:numCache>
                <c:formatCode>#,##0.00</c:formatCode>
                <c:ptCount val="1"/>
                <c:pt idx="0">
                  <c:v>118717.98180744998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E88-4CF4-B59E-2441775BC4AD}"/>
            </c:ext>
          </c:extLst>
        </c:ser>
        <c:ser>
          <c:idx val="2"/>
          <c:order val="2"/>
          <c:tx>
            <c:strRef>
              <c:f>Resultados_linhas!$G$17</c:f>
              <c:strCache>
                <c:ptCount val="1"/>
                <c:pt idx="0">
                  <c:v>C - Exploração/Manutenção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Resultados_linhas!$H$14</c:f>
              <c:strCache>
                <c:ptCount val="1"/>
                <c:pt idx="0">
                  <c:v>Balanço de Emissões (t CO2e)</c:v>
                </c:pt>
              </c:strCache>
            </c:strRef>
          </c:cat>
          <c:val>
            <c:numRef>
              <c:f>Resultados_linhas!$H$17</c:f>
              <c:numCache>
                <c:formatCode>#,##0.00</c:formatCode>
                <c:ptCount val="1"/>
                <c:pt idx="0">
                  <c:v>-913360.57962495659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E88-4CF4-B59E-2441775BC4AD}"/>
            </c:ext>
          </c:extLst>
        </c:ser>
        <c:ser>
          <c:idx val="3"/>
          <c:order val="3"/>
          <c:tx>
            <c:strRef>
              <c:f>Resultados_linhas!$G$18</c:f>
              <c:strCache>
                <c:ptCount val="1"/>
                <c:pt idx="0">
                  <c:v>D -Balanço Florestal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Resultados_linhas!$H$14</c:f>
              <c:strCache>
                <c:ptCount val="1"/>
                <c:pt idx="0">
                  <c:v>Balanço de Emissões (t CO2e)</c:v>
                </c:pt>
              </c:strCache>
            </c:strRef>
          </c:cat>
          <c:val>
            <c:numRef>
              <c:f>Resultados_linhas!$H$18</c:f>
              <c:numCache>
                <c:formatCode>#,##0.00</c:formatCode>
                <c:ptCount val="1"/>
                <c:pt idx="0">
                  <c:v>612140.61078526301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E88-4CF4-B59E-2441775BC4AD}"/>
            </c:ext>
          </c:extLst>
        </c:ser>
        <c:ser>
          <c:idx val="4"/>
          <c:order val="4"/>
          <c:tx>
            <c:strRef>
              <c:f>Resultados_linhas!$G$19</c:f>
              <c:strCache>
                <c:ptCount val="1"/>
                <c:pt idx="0">
                  <c:v>E - Descomissionamento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Resultados_linhas!$H$14</c:f>
              <c:strCache>
                <c:ptCount val="1"/>
                <c:pt idx="0">
                  <c:v>Balanço de Emissões (t CO2e)</c:v>
                </c:pt>
              </c:strCache>
            </c:strRef>
          </c:cat>
          <c:val>
            <c:numRef>
              <c:f>Resultados_linhas!$H$19</c:f>
              <c:numCache>
                <c:formatCode>#,##0.00</c:formatCode>
                <c:ptCount val="1"/>
                <c:pt idx="0">
                  <c:v>45.205100000000002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3E88-4CF4-B59E-2441775BC4A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5106384"/>
        <c:axId val="1035106712"/>
      </c:barChart>
      <c:catAx>
        <c:axId val="1035106384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35106712"/>
        <c:crosses val="autoZero"/>
        <c:auto val="1"/>
        <c:lblAlgn val="ctr"/>
        <c:lblOffset val="100"/>
        <c:noMultiLvlLbl val="0"/>
      </c:catAx>
      <c:valAx>
        <c:axId val="1035106712"/>
        <c:scaling>
          <c:orientation val="minMax"/>
          <c:max val="700000"/>
        </c:scaling>
        <c:delete val="0"/>
        <c:axPos val="l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pt-PT"/>
                  <a:t>t CO</a:t>
                </a:r>
                <a:r>
                  <a:rPr lang="pt-PT" baseline="-25000"/>
                  <a:t>2</a:t>
                </a:r>
                <a:r>
                  <a:rPr lang="pt-PT"/>
                  <a:t>e</a:t>
                </a:r>
              </a:p>
            </c:rich>
          </c:tx>
          <c:overlay val="0"/>
          <c:spPr>
            <a:noFill/>
            <a:ln>
              <a:noFill/>
              <a:prstDash val="solid"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pt-PT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 w="6350" cap="flat" cmpd="sng" algn="ctr">
            <a:noFill/>
            <a:prstDash val="solid"/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PT"/>
          </a:p>
        </c:txPr>
        <c:crossAx val="1035106384"/>
        <c:crosses val="autoZero"/>
        <c:crossBetween val="between"/>
      </c:valAx>
      <c:spPr>
        <a:solidFill>
          <a:schemeClr val="bg1"/>
        </a:solidFill>
        <a:ln>
          <a:noFill/>
        </a:ln>
        <a:effectLst/>
      </c:spPr>
    </c:plotArea>
    <c:legend>
      <c:legendPos val="r"/>
      <c:overlay val="0"/>
      <c:spPr>
        <a:noFill/>
        <a:ln>
          <a:noFill/>
          <a:prstDash val="solid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showDLblsOverMax val="1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tx>
            <c:strRef>
              <c:f>Resultados_linhas!$H$14</c:f>
              <c:strCache>
                <c:ptCount val="1"/>
                <c:pt idx="0">
                  <c:v>Balanço de Emissões (t CO2e)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5-F1BF-48E7-8822-70A8D636E54E}"/>
              </c:ext>
            </c:extLst>
          </c:dPt>
          <c:dPt>
            <c:idx val="1"/>
            <c:bubble3D val="0"/>
            <c:spPr>
              <a:solidFill>
                <a:srgbClr val="FFC000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F1BF-48E7-8822-70A8D636E54E}"/>
              </c:ext>
            </c:extLst>
          </c:dPt>
          <c:dPt>
            <c:idx val="2"/>
            <c:bubble3D val="0"/>
            <c:spPr>
              <a:solidFill>
                <a:schemeClr val="accent6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F1BF-48E7-8822-70A8D636E54E}"/>
              </c:ext>
            </c:extLst>
          </c:dPt>
          <c:dPt>
            <c:idx val="3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F1BF-48E7-8822-70A8D636E54E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F1BF-48E7-8822-70A8D636E54E}"/>
              </c:ext>
            </c:extLst>
          </c:dPt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1BF-48E7-8822-70A8D636E54E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1BF-48E7-8822-70A8D636E54E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Resultados_linhas!$G$15:$G$19</c:f>
              <c:strCache>
                <c:ptCount val="5"/>
                <c:pt idx="0">
                  <c:v>A - Estabelecimento da faixa de servidão</c:v>
                </c:pt>
                <c:pt idx="1">
                  <c:v>B - Construção</c:v>
                </c:pt>
                <c:pt idx="2">
                  <c:v>C - Exploração/Manutenção</c:v>
                </c:pt>
                <c:pt idx="3">
                  <c:v>D -Balanço Florestal</c:v>
                </c:pt>
                <c:pt idx="4">
                  <c:v>E - Descomissionamento</c:v>
                </c:pt>
              </c:strCache>
            </c:strRef>
          </c:cat>
          <c:val>
            <c:numRef>
              <c:f>Resultados_linhas!$H$15:$H$19</c:f>
              <c:numCache>
                <c:formatCode>#,##0.00</c:formatCode>
                <c:ptCount val="5"/>
                <c:pt idx="0">
                  <c:v>632.65425126645425</c:v>
                </c:pt>
                <c:pt idx="1">
                  <c:v>118717.98180744998</c:v>
                </c:pt>
                <c:pt idx="2">
                  <c:v>-913360.57962495659</c:v>
                </c:pt>
                <c:pt idx="3">
                  <c:v>612140.61078526301</c:v>
                </c:pt>
                <c:pt idx="4">
                  <c:v>45.205100000000002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1BF-48E7-8822-70A8D636E54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PT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P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0809923445219228"/>
          <c:y val="0.12925083745302154"/>
          <c:w val="0.56075160895716347"/>
          <c:h val="0.7732844977584491"/>
        </c:manualLayout>
      </c:layout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B57-4E48-B12B-9D08FEA8DD88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DB57-4E48-B12B-9D08FEA8DD88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DB57-4E48-B12B-9D08FEA8DD88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DB57-4E48-B12B-9D08FEA8DD88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DB57-4E48-B12B-9D08FEA8DD88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B-DB57-4E48-B12B-9D08FEA8DD88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D-DB57-4E48-B12B-9D08FEA8DD88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F-DB57-4E48-B12B-9D08FEA8DD88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1-DB57-4E48-B12B-9D08FEA8DD88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3-DB57-4E48-B12B-9D08FEA8DD88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5-DB57-4E48-B12B-9D08FEA8DD88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7-DB57-4E48-B12B-9D08FEA8DD88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9-DB57-4E48-B12B-9D08FEA8DD88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B-DB57-4E48-B12B-9D08FEA8DD88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1D-DB57-4E48-B12B-9D08FEA8DD88}"/>
              </c:ext>
            </c:extLst>
          </c:dPt>
          <c:dLbls>
            <c:dLbl>
              <c:idx val="0"/>
              <c:layout>
                <c:manualLayout>
                  <c:x val="-0.13829953283071195"/>
                  <c:y val="-3.1786172664493356E-3"/>
                </c:manualLayout>
              </c:layout>
              <c:tx>
                <c:rich>
                  <a:bodyPr/>
                  <a:lstStyle/>
                  <a:p>
                    <a:fld id="{68C8FC70-E506-4A41-B6D0-E7437425860E}" type="CATEGORYNAME">
                      <a:rPr lang="en-US"/>
                      <a:pPr/>
                      <a:t>[NOME DA CATEGORIA]</a:t>
                    </a:fld>
                    <a:r>
                      <a:rPr lang="en-US" baseline="0"/>
                      <a:t>
99.99%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DB57-4E48-B12B-9D08FEA8DD88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r>
                      <a:rPr lang="en-US" baseline="0"/>
                      <a:t>Other Components
0.01%</a:t>
                    </a:r>
                    <a:endParaRPr lang="en-US"/>
                  </a:p>
                </c:rich>
              </c:tx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3-DB57-4E48-B12B-9D08FEA8DD88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B57-4E48-B12B-9D08FEA8DD88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B57-4E48-B12B-9D08FEA8DD88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B57-4E48-B12B-9D08FEA8DD88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B57-4E48-B12B-9D08FEA8DD88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B57-4E48-B12B-9D08FEA8DD88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B57-4E48-B12B-9D08FEA8DD88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B57-4E48-B12B-9D08FEA8DD88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B57-4E48-B12B-9D08FEA8DD88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B57-4E48-B12B-9D08FEA8DD88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B57-4E48-B12B-9D08FEA8DD88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B57-4E48-B12B-9D08FEA8DD88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B57-4E48-B12B-9D08FEA8DD88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B57-4E48-B12B-9D08FEA8DD88}"/>
                </c:ext>
              </c:extLst>
            </c:dLbl>
            <c:spPr>
              <a:solidFill>
                <a:sysClr val="window" lastClr="FFFFFF"/>
              </a:solidFill>
              <a:ln>
                <a:solidFill>
                  <a:sysClr val="windowText" lastClr="000000">
                    <a:lumMod val="25000"/>
                    <a:lumOff val="75000"/>
                  </a:sysClr>
                </a:solidFill>
              </a:ln>
              <a:effectLst/>
            </c:spPr>
            <c:txPr>
              <a:bodyPr rot="0" spcFirstLastPara="1" vertOverflow="clip" horzOverflow="clip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t-PT"/>
              </a:p>
            </c:txPr>
            <c:dLblPos val="outEnd"/>
            <c:showLegendKey val="0"/>
            <c:showVal val="0"/>
            <c:showCatName val="1"/>
            <c:showSerName val="0"/>
            <c:showPercent val="1"/>
            <c:showBubbleSize val="0"/>
            <c:showLeaderLines val="0"/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wedgeRectCallou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'6. DAPs'!$Y$7:$Y$23</c:f>
              <c:strCache>
                <c:ptCount val="15"/>
                <c:pt idx="0">
                  <c:v>Autotransformer</c:v>
                </c:pt>
                <c:pt idx="1">
                  <c:v>Disconnector</c:v>
                </c:pt>
                <c:pt idx="2">
                  <c:v>Auxiliar Distribution Transformer</c:v>
                </c:pt>
                <c:pt idx="3">
                  <c:v>Current Transformer</c:v>
                </c:pt>
                <c:pt idx="4">
                  <c:v>Capacitive Transformer</c:v>
                </c:pt>
                <c:pt idx="5">
                  <c:v>Inductive Transformer</c:v>
                </c:pt>
                <c:pt idx="6">
                  <c:v>Live Tank Circuit Breaker</c:v>
                </c:pt>
                <c:pt idx="7">
                  <c:v>Surge Arrester</c:v>
                </c:pt>
                <c:pt idx="8">
                  <c:v>Insulator</c:v>
                </c:pt>
                <c:pt idx="9">
                  <c:v>Command and Protection Systems - Telecontrol</c:v>
                </c:pt>
                <c:pt idx="10">
                  <c:v>Battery</c:v>
                </c:pt>
                <c:pt idx="11">
                  <c:v>Cabinets</c:v>
                </c:pt>
                <c:pt idx="12">
                  <c:v>Concrete</c:v>
                </c:pt>
                <c:pt idx="13">
                  <c:v>Metal Structures</c:v>
                </c:pt>
                <c:pt idx="14">
                  <c:v>Cables</c:v>
                </c:pt>
              </c:strCache>
            </c:strRef>
          </c:cat>
          <c:val>
            <c:numRef>
              <c:f>'6. DAPs'!$Z$7:$Z$23</c:f>
              <c:numCache>
                <c:formatCode>0.00</c:formatCode>
                <c:ptCount val="15"/>
                <c:pt idx="0">
                  <c:v>38975.1</c:v>
                </c:pt>
                <c:pt idx="1">
                  <c:v>33.730499999999999</c:v>
                </c:pt>
                <c:pt idx="2">
                  <c:v>29.85492</c:v>
                </c:pt>
                <c:pt idx="3">
                  <c:v>10.904900000000001</c:v>
                </c:pt>
                <c:pt idx="4">
                  <c:v>3.7333999999999996</c:v>
                </c:pt>
                <c:pt idx="5">
                  <c:v>21.363499999999998</c:v>
                </c:pt>
                <c:pt idx="6">
                  <c:v>198.21</c:v>
                </c:pt>
                <c:pt idx="7">
                  <c:v>0.40048099999999998</c:v>
                </c:pt>
                <c:pt idx="8">
                  <c:v>1.7810569999999994E-2</c:v>
                </c:pt>
                <c:pt idx="9">
                  <c:v>0.77570000000000006</c:v>
                </c:pt>
                <c:pt idx="10">
                  <c:v>3.9442900000000005</c:v>
                </c:pt>
                <c:pt idx="11">
                  <c:v>4.5611999999999995</c:v>
                </c:pt>
                <c:pt idx="12">
                  <c:v>0.85758000000000001</c:v>
                </c:pt>
                <c:pt idx="13">
                  <c:v>3.6318699999999997</c:v>
                </c:pt>
                <c:pt idx="14" formatCode="0.0000">
                  <c:v>65.717637319999994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E-DB57-4E48-B12B-9D08FEA8DD88}"/>
            </c:ext>
          </c:extLst>
        </c:ser>
        <c:dLbls>
          <c:dLblPos val="bestFit"/>
          <c:showLegendKey val="0"/>
          <c:showVal val="1"/>
          <c:showCatName val="0"/>
          <c:showSerName val="0"/>
          <c:showPercent val="0"/>
          <c:showBubbleSize val="0"/>
          <c:showLeaderLines val="0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noFill/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P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0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'Inser&#231;&#227;o de dados'!Come&#231;ar"/><Relationship Id="rId2" Type="http://schemas.openxmlformats.org/officeDocument/2006/relationships/hyperlink" Target="#IN&#205;CIO!In&#237;cio"/><Relationship Id="rId1" Type="http://schemas.openxmlformats.org/officeDocument/2006/relationships/image" Target="../media/image2.png"/><Relationship Id="rId5" Type="http://schemas.openxmlformats.org/officeDocument/2006/relationships/hyperlink" Target="#Instru&#231;&#245;es!Esquema"/><Relationship Id="rId4" Type="http://schemas.openxmlformats.org/officeDocument/2006/relationships/hyperlink" Target="#Resultados!Resultados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2.xml"/><Relationship Id="rId2" Type="http://schemas.openxmlformats.org/officeDocument/2006/relationships/image" Target="../media/image2.png"/><Relationship Id="rId1" Type="http://schemas.openxmlformats.org/officeDocument/2006/relationships/chart" Target="../charts/chart1.xml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hyperlink" Target="#Resultados!Resultados"/><Relationship Id="rId2" Type="http://schemas.openxmlformats.org/officeDocument/2006/relationships/hyperlink" Target="#Instru&#231;&#245;es!Instru&#231;&#245;es"/><Relationship Id="rId1" Type="http://schemas.openxmlformats.org/officeDocument/2006/relationships/hyperlink" Target="#IN&#205;CIO!In&#237;cio"/><Relationship Id="rId4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.png"/><Relationship Id="rId3" Type="http://schemas.openxmlformats.org/officeDocument/2006/relationships/image" Target="../media/image5.png"/><Relationship Id="rId7" Type="http://schemas.openxmlformats.org/officeDocument/2006/relationships/image" Target="../media/image9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6" Type="http://schemas.openxmlformats.org/officeDocument/2006/relationships/image" Target="../media/image8.png"/><Relationship Id="rId5" Type="http://schemas.openxmlformats.org/officeDocument/2006/relationships/image" Target="../media/image7.png"/><Relationship Id="rId4" Type="http://schemas.openxmlformats.org/officeDocument/2006/relationships/image" Target="../media/image6.png"/><Relationship Id="rId9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8" Type="http://schemas.openxmlformats.org/officeDocument/2006/relationships/hyperlink" Target="#IN&#205;CIO!In&#237;cio"/><Relationship Id="rId3" Type="http://schemas.openxmlformats.org/officeDocument/2006/relationships/image" Target="../media/image13.svg"/><Relationship Id="rId7" Type="http://schemas.openxmlformats.org/officeDocument/2006/relationships/hyperlink" Target="#'7.2. Infl. Consumo NYISO'!B1"/><Relationship Id="rId12" Type="http://schemas.openxmlformats.org/officeDocument/2006/relationships/chart" Target="../charts/chart3.xml"/><Relationship Id="rId2" Type="http://schemas.openxmlformats.org/officeDocument/2006/relationships/image" Target="../media/image12.png"/><Relationship Id="rId1" Type="http://schemas.openxmlformats.org/officeDocument/2006/relationships/image" Target="../media/image11.png"/><Relationship Id="rId6" Type="http://schemas.openxmlformats.org/officeDocument/2006/relationships/hyperlink" Target="#'7.1. Infl. Temp. NYISO'!B1"/><Relationship Id="rId11" Type="http://schemas.openxmlformats.org/officeDocument/2006/relationships/image" Target="../media/image2.png"/><Relationship Id="rId5" Type="http://schemas.openxmlformats.org/officeDocument/2006/relationships/hyperlink" Target="#'5. Ativos'!A1"/><Relationship Id="rId10" Type="http://schemas.openxmlformats.org/officeDocument/2006/relationships/hyperlink" Target="#Resultados!Resultados"/><Relationship Id="rId4" Type="http://schemas.openxmlformats.org/officeDocument/2006/relationships/image" Target="../media/image14.png"/><Relationship Id="rId9" Type="http://schemas.openxmlformats.org/officeDocument/2006/relationships/hyperlink" Target="#Instru&#231;&#245;es!Instru&#231;&#245;es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0</xdr:rowOff>
    </xdr:from>
    <xdr:to>
      <xdr:col>32</xdr:col>
      <xdr:colOff>430819</xdr:colOff>
      <xdr:row>50</xdr:row>
      <xdr:rowOff>76200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D5273EB-F0C8-C586-58F6-A18CCE5FF4A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9757" b="24034"/>
        <a:stretch/>
      </xdr:blipFill>
      <xdr:spPr bwMode="auto">
        <a:xfrm>
          <a:off x="19050" y="0"/>
          <a:ext cx="19918969" cy="960120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>
    <xdr:from>
      <xdr:col>1</xdr:col>
      <xdr:colOff>295275</xdr:colOff>
      <xdr:row>3</xdr:row>
      <xdr:rowOff>180975</xdr:rowOff>
    </xdr:from>
    <xdr:to>
      <xdr:col>11</xdr:col>
      <xdr:colOff>409575</xdr:colOff>
      <xdr:row>10</xdr:row>
      <xdr:rowOff>114300</xdr:rowOff>
    </xdr:to>
    <xdr:sp macro="" textlink="">
      <xdr:nvSpPr>
        <xdr:cNvPr id="3" name="CaixaDeTexto 2">
          <a:extLst>
            <a:ext uri="{FF2B5EF4-FFF2-40B4-BE49-F238E27FC236}">
              <a16:creationId xmlns:a16="http://schemas.microsoft.com/office/drawing/2014/main" id="{F8C7418F-F94E-5B9A-08E7-6ECCFFEFAC8E}"/>
            </a:ext>
          </a:extLst>
        </xdr:cNvPr>
        <xdr:cNvSpPr txBox="1"/>
      </xdr:nvSpPr>
      <xdr:spPr>
        <a:xfrm>
          <a:off x="904875" y="752475"/>
          <a:ext cx="6210300" cy="12668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PT" sz="3600">
              <a:solidFill>
                <a:schemeClr val="accent1"/>
              </a:solidFill>
              <a:latin typeface="72 Black" panose="020B0A04030603020204" pitchFamily="34" charset="0"/>
              <a:cs typeface="72 Black" panose="020B0A04030603020204" pitchFamily="34" charset="0"/>
            </a:rPr>
            <a:t>Estimativa de emissões de GEE em projetos</a:t>
          </a:r>
          <a:r>
            <a:rPr lang="pt-PT" sz="3600" baseline="0">
              <a:solidFill>
                <a:schemeClr val="accent1"/>
              </a:solidFill>
              <a:latin typeface="72 Black" panose="020B0A04030603020204" pitchFamily="34" charset="0"/>
              <a:cs typeface="72 Black" panose="020B0A04030603020204" pitchFamily="34" charset="0"/>
            </a:rPr>
            <a:t> REN</a:t>
          </a:r>
          <a:endParaRPr lang="pt-PT" sz="3600">
            <a:solidFill>
              <a:schemeClr val="accent1"/>
            </a:solidFill>
            <a:latin typeface="72 Black" panose="020B0A04030603020204" pitchFamily="34" charset="0"/>
            <a:cs typeface="72 Black" panose="020B0A04030603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19051</xdr:rowOff>
    </xdr:from>
    <xdr:to>
      <xdr:col>1</xdr:col>
      <xdr:colOff>380999</xdr:colOff>
      <xdr:row>2</xdr:row>
      <xdr:rowOff>28575</xdr:rowOff>
    </xdr:to>
    <xdr:pic>
      <xdr:nvPicPr>
        <xdr:cNvPr id="7" name="Imagem 1" descr="Logo_assinatura_email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47625" y="257176"/>
          <a:ext cx="514349" cy="20002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0</xdr:colOff>
      <xdr:row>4</xdr:row>
      <xdr:rowOff>0</xdr:rowOff>
    </xdr:from>
    <xdr:to>
      <xdr:col>11</xdr:col>
      <xdr:colOff>454024</xdr:colOff>
      <xdr:row>25</xdr:row>
      <xdr:rowOff>146050</xdr:rowOff>
    </xdr:to>
    <xdr:sp macro="" textlink="">
      <xdr:nvSpPr>
        <xdr:cNvPr id="2" name="TextBox 2">
          <a:extLst>
            <a:ext uri="{FF2B5EF4-FFF2-40B4-BE49-F238E27FC236}">
              <a16:creationId xmlns:a16="http://schemas.microsoft.com/office/drawing/2014/main" id="{12F9A1D9-E8D7-4169-B324-0599395D775A}"/>
            </a:ext>
          </a:extLst>
        </xdr:cNvPr>
        <xdr:cNvSpPr txBox="1"/>
      </xdr:nvSpPr>
      <xdr:spPr>
        <a:xfrm>
          <a:off x="180975" y="800100"/>
          <a:ext cx="11179174" cy="41465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GB" sz="1100">
              <a:latin typeface="+mn-lt"/>
              <a:cs typeface="Times New Roman" panose="02020603050405020304" pitchFamily="18" charset="0"/>
            </a:rPr>
            <a:t>Esta ferramenta destina-se à estimativa das emissões de Gases com Efeito de Estufa (GEE) diretas e indiretas, geradas e evitadas, para projetos de construção de instraestruturas técnicas da responsabilidade da REN - Redes Energéticas Nacionais, S.A., ao longo do seu ciclo de vida.</a:t>
          </a:r>
        </a:p>
        <a:p>
          <a:r>
            <a:rPr lang="en-GB" sz="1100">
              <a:latin typeface="+mn-lt"/>
              <a:cs typeface="Times New Roman" panose="02020603050405020304" pitchFamily="18" charset="0"/>
            </a:rPr>
            <a:t>Esta informação pode ser relevante</a:t>
          </a:r>
          <a:r>
            <a:rPr lang="en-GB" sz="1100" baseline="0">
              <a:latin typeface="+mn-lt"/>
              <a:cs typeface="Times New Roman" panose="02020603050405020304" pitchFamily="18" charset="0"/>
            </a:rPr>
            <a:t> </a:t>
          </a:r>
          <a:r>
            <a:rPr lang="en-GB" sz="1100">
              <a:latin typeface="+mn-lt"/>
              <a:cs typeface="Times New Roman" panose="02020603050405020304" pitchFamily="18" charset="0"/>
            </a:rPr>
            <a:t>para algumas tipologias de projetos, no âmbito do EIA - Estudo de Impacte Ambiental.</a:t>
          </a:r>
        </a:p>
        <a:p>
          <a:br>
            <a:rPr lang="en-GB" sz="1100">
              <a:latin typeface="+mn-lt"/>
              <a:cs typeface="Times New Roman" panose="02020603050405020304" pitchFamily="18" charset="0"/>
            </a:rPr>
          </a:br>
          <a:r>
            <a:rPr lang="en-GB" sz="1100">
              <a:latin typeface="+mn-lt"/>
              <a:cs typeface="Times New Roman" panose="02020603050405020304" pitchFamily="18" charset="0"/>
            </a:rPr>
            <a:t>Emissões diretas referem-se às resultantes  diretamente das atividades do projeto, como a combustão de combustíveis fósseis em equipamentos ou veículos próprios, enquanto as emissões indiretas incluem as associadas ao consumo de energia elétrica adquirida ou a processos na cadeia de valor, como a produção de materiais utilizados num</a:t>
          </a:r>
          <a:r>
            <a:rPr lang="en-GB" sz="1100" baseline="0">
              <a:latin typeface="+mn-lt"/>
              <a:cs typeface="Times New Roman" panose="02020603050405020304" pitchFamily="18" charset="0"/>
            </a:rPr>
            <a:t> </a:t>
          </a:r>
          <a:r>
            <a:rPr lang="en-GB" sz="1100">
              <a:latin typeface="+mn-lt"/>
              <a:cs typeface="Times New Roman" panose="02020603050405020304" pitchFamily="18" charset="0"/>
            </a:rPr>
            <a:t>projeto.</a:t>
          </a:r>
        </a:p>
        <a:p>
          <a:r>
            <a:rPr lang="en-GB" sz="1100">
              <a:latin typeface="+mn-lt"/>
              <a:cs typeface="Times New Roman" panose="02020603050405020304" pitchFamily="18" charset="0"/>
            </a:rPr>
            <a:t>As emissões geradas representam os GEE libertados pelas atividades do projeto, enquanto as emissões evitadas referem-se à redução ou captura de carbono como, por exemplo, resultado do uso previsto de energias renováveis ou a criação de sumidouros de carbono, como florestas ou solos que usam CO₂.</a:t>
          </a:r>
        </a:p>
        <a:p>
          <a:r>
            <a:rPr lang="en-GB" sz="1100">
              <a:latin typeface="+mn-lt"/>
              <a:cs typeface="Times New Roman" panose="02020603050405020304" pitchFamily="18" charset="0"/>
            </a:rPr>
            <a:t>A avaliação das emissões geradas e evitadas deve ser realizada ao longo de todo o ciclo de vida do projeto, considerando desde a extração de recursos e produção até a operação e descomissionamento, garantindo uma visão completa do impacte.</a:t>
          </a:r>
        </a:p>
        <a:p>
          <a:br>
            <a:rPr lang="en-GB" sz="1100">
              <a:latin typeface="+mn-lt"/>
              <a:cs typeface="Times New Roman" panose="02020603050405020304" pitchFamily="18" charset="0"/>
            </a:rPr>
          </a:br>
          <a:r>
            <a:rPr lang="en-GB" sz="1100">
              <a:latin typeface="+mn-lt"/>
              <a:cs typeface="Times New Roman" panose="02020603050405020304" pitchFamily="18" charset="0"/>
            </a:rPr>
            <a:t>Atualmente é amplamente reconhecido que a atividade humana, nomeadamente as emissões antropogénicas de GEE, como o CO</a:t>
          </a:r>
          <a:r>
            <a:rPr lang="en-GB" sz="1100" baseline="-25000">
              <a:latin typeface="+mn-lt"/>
              <a:cs typeface="Times New Roman" panose="02020603050405020304" pitchFamily="18" charset="0"/>
            </a:rPr>
            <a:t>2</a:t>
          </a:r>
          <a:r>
            <a:rPr lang="en-GB" sz="1100">
              <a:latin typeface="+mn-lt"/>
              <a:cs typeface="Times New Roman" panose="02020603050405020304" pitchFamily="18" charset="0"/>
            </a:rPr>
            <a:t>, CH</a:t>
          </a:r>
          <a:r>
            <a:rPr lang="en-GB" sz="1100" baseline="-25000">
              <a:latin typeface="+mn-lt"/>
              <a:cs typeface="Times New Roman" panose="02020603050405020304" pitchFamily="18" charset="0"/>
            </a:rPr>
            <a:t>4</a:t>
          </a:r>
          <a:r>
            <a:rPr lang="en-GB" sz="1100">
              <a:latin typeface="+mn-lt"/>
              <a:cs typeface="Times New Roman" panose="02020603050405020304" pitchFamily="18" charset="0"/>
            </a:rPr>
            <a:t>, N</a:t>
          </a:r>
          <a:r>
            <a:rPr lang="en-GB" sz="1100" baseline="-25000">
              <a:latin typeface="+mn-lt"/>
              <a:cs typeface="Times New Roman" panose="02020603050405020304" pitchFamily="18" charset="0"/>
            </a:rPr>
            <a:t>2</a:t>
          </a:r>
          <a:r>
            <a:rPr lang="en-GB" sz="1100">
              <a:latin typeface="+mn-lt"/>
              <a:cs typeface="Times New Roman" panose="02020603050405020304" pitchFamily="18" charset="0"/>
            </a:rPr>
            <a:t>O e gases fluorados, resultantes de vários setores societais, são a principal causa do aquecimento global, impulsionando as alterações climáticas, com impactes negativos na biosfera, resultando em eventos climáticos extremos mais frequentes, como ondas de calor, secas e inundações. </a:t>
          </a:r>
        </a:p>
        <a:p>
          <a:br>
            <a:rPr lang="en-GB" sz="1100">
              <a:latin typeface="+mn-lt"/>
              <a:cs typeface="Times New Roman" panose="02020603050405020304" pitchFamily="18" charset="0"/>
            </a:rPr>
          </a:br>
          <a:r>
            <a:rPr lang="en-GB" sz="1100">
              <a:latin typeface="+mn-lt"/>
              <a:cs typeface="Times New Roman" panose="02020603050405020304" pitchFamily="18" charset="0"/>
            </a:rPr>
            <a:t>O Acordo de Paris estabeleceu em 2015 o objetivo de limitar o aumento da temperatura global, idealmente, a 1,5°C acima dos níveis pré-industriais, por forma a evitar impactos mais severos e potencialmente irreversíveis do aumento da temperatura global. Esta meta requer uma redução significativa das ainda globalmente crescentes emissões de GEE, envolvendo entidades públicas e privadas num compromisso conjunto. Em consequência, têm vindo a ser desenvolvidas regulamentações e padrões centrados na descarbonização e neutralidade carbónica.</a:t>
          </a:r>
        </a:p>
        <a:p>
          <a:br>
            <a:rPr lang="en-GB" sz="1100">
              <a:latin typeface="+mn-lt"/>
              <a:cs typeface="Times New Roman" panose="02020603050405020304" pitchFamily="18" charset="0"/>
            </a:rPr>
          </a:br>
          <a:r>
            <a:rPr lang="en-GB" sz="1100">
              <a:latin typeface="+mn-lt"/>
              <a:cs typeface="Times New Roman" panose="02020603050405020304" pitchFamily="18" charset="0"/>
            </a:rPr>
            <a:t>A quantificação das emissões de GEE de atividades, processos e produtos, expressas em CO</a:t>
          </a:r>
          <a:r>
            <a:rPr lang="en-GB" sz="1100" baseline="-25000">
              <a:latin typeface="+mn-lt"/>
              <a:cs typeface="Times New Roman" panose="02020603050405020304" pitchFamily="18" charset="0"/>
            </a:rPr>
            <a:t>2</a:t>
          </a:r>
          <a:r>
            <a:rPr lang="en-GB" sz="1100">
              <a:latin typeface="+mn-lt"/>
              <a:cs typeface="Times New Roman" panose="02020603050405020304" pitchFamily="18" charset="0"/>
            </a:rPr>
            <a:t> equivalente, prova-se fulcral, não só para a gestão de riscos e identificação de oportunidades de redução, mas também para garantir o cumprimento de regulamentações e protocolos estabelecidos internacionalmente, permitindo criar novas oportunidades de negócio</a:t>
          </a:r>
          <a:r>
            <a:rPr lang="en-GB" sz="1100" baseline="0">
              <a:latin typeface="+mn-lt"/>
              <a:cs typeface="Times New Roman" panose="02020603050405020304" pitchFamily="18" charset="0"/>
            </a:rPr>
            <a:t> e</a:t>
          </a:r>
          <a:r>
            <a:rPr lang="en-GB" sz="1100">
              <a:latin typeface="+mn-lt"/>
              <a:cs typeface="Times New Roman" panose="02020603050405020304" pitchFamily="18" charset="0"/>
            </a:rPr>
            <a:t> aumentar a competitividade e a visibilidade. Por outro lado, apenas com uma compreensão profunda das emissões associadas a cada setor poderão ser desenvolvidas estratégias de mitigação eficazes.</a:t>
          </a:r>
          <a:endParaRPr lang="en-GB" sz="1100" b="1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53976</xdr:colOff>
      <xdr:row>0</xdr:row>
      <xdr:rowOff>419100</xdr:rowOff>
    </xdr:from>
    <xdr:ext cx="672912" cy="315446"/>
    <xdr:pic>
      <xdr:nvPicPr>
        <xdr:cNvPr id="2" name="Imagem 1" descr="Logo_assinatura_email">
          <a:extLst>
            <a:ext uri="{FF2B5EF4-FFF2-40B4-BE49-F238E27FC236}">
              <a16:creationId xmlns:a16="http://schemas.microsoft.com/office/drawing/2014/main" id="{05FA5DC8-5424-4962-B557-21252865C1FE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4"/>
        <a:stretch/>
      </xdr:blipFill>
      <xdr:spPr bwMode="auto">
        <a:xfrm>
          <a:off x="53976" y="180975"/>
          <a:ext cx="672912" cy="315446"/>
        </a:xfrm>
        <a:prstGeom prst="rect">
          <a:avLst/>
        </a:prstGeom>
        <a:noFill/>
        <a:ln>
          <a:noFill/>
        </a:ln>
      </xdr:spPr>
    </xdr:pic>
    <xdr:clientData/>
  </xdr:oneCellAnchor>
  <xdr:twoCellAnchor>
    <xdr:from>
      <xdr:col>10</xdr:col>
      <xdr:colOff>241300</xdr:colOff>
      <xdr:row>1</xdr:row>
      <xdr:rowOff>114300</xdr:rowOff>
    </xdr:from>
    <xdr:to>
      <xdr:col>12</xdr:col>
      <xdr:colOff>184150</xdr:colOff>
      <xdr:row>3</xdr:row>
      <xdr:rowOff>44450</xdr:rowOff>
    </xdr:to>
    <xdr:sp macro="" textlink="">
      <xdr:nvSpPr>
        <xdr:cNvPr id="3" name="TextBox 14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6CBEF181-74EA-4C73-8AF2-150FB84C9E6F}"/>
            </a:ext>
          </a:extLst>
        </xdr:cNvPr>
        <xdr:cNvSpPr txBox="1"/>
      </xdr:nvSpPr>
      <xdr:spPr>
        <a:xfrm>
          <a:off x="5286375" y="295275"/>
          <a:ext cx="952500" cy="295275"/>
        </a:xfrm>
        <a:prstGeom prst="round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>
              <a:latin typeface="Times New Roman" panose="02020603050405020304" pitchFamily="18" charset="0"/>
              <a:cs typeface="Times New Roman" panose="02020603050405020304" pitchFamily="18" charset="0"/>
            </a:rPr>
            <a:t>Início</a:t>
          </a:r>
        </a:p>
      </xdr:txBody>
    </xdr:sp>
    <xdr:clientData/>
  </xdr:twoCellAnchor>
  <xdr:twoCellAnchor>
    <xdr:from>
      <xdr:col>12</xdr:col>
      <xdr:colOff>228600</xdr:colOff>
      <xdr:row>1</xdr:row>
      <xdr:rowOff>114300</xdr:rowOff>
    </xdr:from>
    <xdr:to>
      <xdr:col>15</xdr:col>
      <xdr:colOff>57150</xdr:colOff>
      <xdr:row>3</xdr:row>
      <xdr:rowOff>44450</xdr:rowOff>
    </xdr:to>
    <xdr:sp macro="" textlink="">
      <xdr:nvSpPr>
        <xdr:cNvPr id="4" name="TextBox 17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6C94224-2C41-4CF0-ABCB-B2F775EB174B}"/>
            </a:ext>
          </a:extLst>
        </xdr:cNvPr>
        <xdr:cNvSpPr txBox="1"/>
      </xdr:nvSpPr>
      <xdr:spPr>
        <a:xfrm>
          <a:off x="6286500" y="295275"/>
          <a:ext cx="1343025" cy="295275"/>
        </a:xfrm>
        <a:prstGeom prst="round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>
              <a:latin typeface="Times New Roman" panose="02020603050405020304" pitchFamily="18" charset="0"/>
              <a:cs typeface="Times New Roman" panose="02020603050405020304" pitchFamily="18" charset="0"/>
            </a:rPr>
            <a:t>Começar</a:t>
          </a:r>
        </a:p>
      </xdr:txBody>
    </xdr:sp>
    <xdr:clientData/>
  </xdr:twoCellAnchor>
  <xdr:twoCellAnchor>
    <xdr:from>
      <xdr:col>15</xdr:col>
      <xdr:colOff>107950</xdr:colOff>
      <xdr:row>1</xdr:row>
      <xdr:rowOff>114300</xdr:rowOff>
    </xdr:from>
    <xdr:to>
      <xdr:col>17</xdr:col>
      <xdr:colOff>266700</xdr:colOff>
      <xdr:row>3</xdr:row>
      <xdr:rowOff>44450</xdr:rowOff>
    </xdr:to>
    <xdr:sp macro="" textlink="">
      <xdr:nvSpPr>
        <xdr:cNvPr id="5" name="TextBox 18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63BF05B2-26AF-4802-9F2B-F72C847AAD45}"/>
            </a:ext>
          </a:extLst>
        </xdr:cNvPr>
        <xdr:cNvSpPr txBox="1"/>
      </xdr:nvSpPr>
      <xdr:spPr>
        <a:xfrm>
          <a:off x="7677150" y="295275"/>
          <a:ext cx="1171575" cy="295275"/>
        </a:xfrm>
        <a:prstGeom prst="roundRect">
          <a:avLst/>
        </a:prstGeom>
        <a:ln/>
      </xdr:spPr>
      <xdr:style>
        <a:lnRef idx="1">
          <a:schemeClr val="accent5"/>
        </a:lnRef>
        <a:fillRef idx="3">
          <a:schemeClr val="accent5"/>
        </a:fillRef>
        <a:effectRef idx="2">
          <a:schemeClr val="accent5"/>
        </a:effectRef>
        <a:fontRef idx="minor">
          <a:schemeClr val="lt1"/>
        </a:fontRef>
      </xdr:style>
      <xdr:txBody>
        <a:bodyPr vertOverflow="clip" horzOverflow="clip" wrap="square" rtlCol="0" anchor="t"/>
        <a:lstStyle/>
        <a:p>
          <a:pPr algn="ctr"/>
          <a:r>
            <a:rPr lang="en-GB" sz="1400" b="1">
              <a:latin typeface="Times New Roman" panose="02020603050405020304" pitchFamily="18" charset="0"/>
              <a:cs typeface="Times New Roman" panose="02020603050405020304" pitchFamily="18" charset="0"/>
            </a:rPr>
            <a:t>Resultados</a:t>
          </a:r>
        </a:p>
      </xdr:txBody>
    </xdr:sp>
    <xdr:clientData/>
  </xdr:twoCellAnchor>
  <xdr:twoCellAnchor>
    <xdr:from>
      <xdr:col>1</xdr:col>
      <xdr:colOff>44824</xdr:colOff>
      <xdr:row>100</xdr:row>
      <xdr:rowOff>20729</xdr:rowOff>
    </xdr:from>
    <xdr:to>
      <xdr:col>21</xdr:col>
      <xdr:colOff>9317</xdr:colOff>
      <xdr:row>122</xdr:row>
      <xdr:rowOff>142874</xdr:rowOff>
    </xdr:to>
    <xdr:grpSp>
      <xdr:nvGrpSpPr>
        <xdr:cNvPr id="6" name="Group 9">
          <a:extLst>
            <a:ext uri="{FF2B5EF4-FFF2-40B4-BE49-F238E27FC236}">
              <a16:creationId xmlns:a16="http://schemas.microsoft.com/office/drawing/2014/main" id="{875D5DBD-163A-48A3-8A66-F1C92A8E348B}"/>
            </a:ext>
          </a:extLst>
        </xdr:cNvPr>
        <xdr:cNvGrpSpPr/>
      </xdr:nvGrpSpPr>
      <xdr:grpSpPr>
        <a:xfrm>
          <a:off x="201706" y="20437847"/>
          <a:ext cx="13960640" cy="4559674"/>
          <a:chOff x="202433" y="18978751"/>
          <a:chExt cx="11627617" cy="4598799"/>
        </a:xfrm>
      </xdr:grpSpPr>
      <xdr:sp macro="" textlink="">
        <xdr:nvSpPr>
          <xdr:cNvPr id="7" name="TextBox 38">
            <a:extLst>
              <a:ext uri="{FF2B5EF4-FFF2-40B4-BE49-F238E27FC236}">
                <a16:creationId xmlns:a16="http://schemas.microsoft.com/office/drawing/2014/main" id="{B7D04F37-0869-EF7D-92D8-3D328B8DD25B}"/>
              </a:ext>
            </a:extLst>
          </xdr:cNvPr>
          <xdr:cNvSpPr txBox="1"/>
        </xdr:nvSpPr>
        <xdr:spPr>
          <a:xfrm>
            <a:off x="202433" y="18978751"/>
            <a:ext cx="11599086" cy="40195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Na fase de operação da linha, decorre a sua utilização para a distribuição de eletricidade, cuja produção e possíveis perdas têm emissões associadas (no âmbito do projeto, indiretas). É expectável que esta seja a principal contribuição em emissões de GEE desta fase. 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No âmbito de projetos LMAT que permitam a integração de fontes de energia renovável (FER) na rede, a sua execução permitirá evitar emissões, pois evitar-se-á a utilização de outras alternativas energéticas, que incluirão fontes fósseis. No que diz respeito</a:t>
            </a: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ao aumento da eficiência, nomeadamente, através da redução de perdas, considera-se que tal análise deve ser realizada no âmbito das atividades globais da REN (âmbito 2), e não no âmbito de cada projeto, assumindo-se a potência prevista para o projeto como o valor a usar para a integração de renováveis.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Nesta fase decorrem igualmente atividades de</a:t>
            </a:r>
            <a:r>
              <a:rPr lang="en-GB" sz="1100" b="0" i="0" u="none" strike="noStrike" baseline="0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gestão da vegestaçãoda faixa de</a:t>
            </a:r>
            <a:r>
              <a:rPr lang="en-GB" sz="1100" b="0" i="0" u="none" strike="noStrike">
                <a:solidFill>
                  <a:sysClr val="windowText" lastClr="000000"/>
                </a:solidFill>
                <a:effectLst/>
                <a:latin typeface="+mn-lt"/>
                <a:ea typeface="+mn-ea"/>
                <a:cs typeface="+mn-cs"/>
              </a:rPr>
              <a:t> servidão. Periodicamente</a:t>
            </a: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, existem deslocações às LMAT para inspeção do seu estado de conservação e segurança associada (1 a 5 anos). Em consequência, conforme necessário, são substituídos componentes deteriorados. 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 faixa de proteção é observada regularmente para identificação de possíveis afetações desta. </a:t>
            </a:r>
            <a:endParaRPr lang="en-GB" b="0">
              <a:solidFill>
                <a:srgbClr val="FF0000"/>
              </a:solidFill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Os apoios, enquanto locais de possível nidificação de avifauna, são também sujeitos a inspeção regular. 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Pontualmente, durante a operação das LMAT, decorre a necessidade de efetuar alterações em resultado de interferências de terceiros, p.ex., devido à construção de novas infraestruturas. 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Assim, de relevância para o balanço de GEE, nesta fase, tem-se: i) a integração de FER na rede, ii) a deslocação de trabalhadores ou equipamentos de observação/manutenção ao local, iii) utilização de maquinaria (p.ex na substituição de componentes, no corte de vegetação), iv) a produção de componentes de substituição - cadeias de isoladores, de herbicidas e fertilizantes, v) a aplicação de fertilizantes e </a:t>
            </a:r>
            <a:r>
              <a:rPr lang="en-GB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vi) o tratamento de resíduos de construção, nomeadamente da substituição das cadeias de isoladores.</a:t>
            </a:r>
            <a:endParaRPr lang="en-GB" b="0">
              <a:solidFill>
                <a:schemeClr val="tx1"/>
              </a:solidFill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Com menor relevância, tem-se a substituição de outros componentes e alterações por interferências de terceiros (ambas residuais).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          </a:t>
            </a:r>
            <a:r>
              <a:rPr lang="en-GB" sz="1100" b="0" i="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São necessárias as seguintes informações adicionais: integração da produção de FER (p.ex. GWh/ano) e extensão total de linha construída para essa integração; número total de apoios (unidades); tempo de </a:t>
            </a:r>
            <a:r>
              <a:rPr lang="en-GB" sz="1100" b="0" i="0" u="sng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vida do projeto (anos).</a:t>
            </a:r>
            <a:endParaRPr lang="en-GB" b="0">
              <a:solidFill>
                <a:srgbClr val="FF0000"/>
              </a:solidFill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           </a:t>
            </a:r>
            <a:r>
              <a:rPr lang="en-GB" sz="1100" b="0" i="0" u="sng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Estes dados podem ser recolhidos diretamente do PDIRT (Plano de Desenvolvimento e Investimento da Rede de Transporte) e das informações do projeto.</a:t>
            </a:r>
            <a:endParaRPr lang="en-GB" b="0">
              <a:solidFill>
                <a:srgbClr val="FF0000"/>
              </a:solidFill>
              <a:effectLst/>
            </a:endParaRPr>
          </a:p>
          <a:p>
            <a:endParaRPr lang="en-GB" i="0" u="sng">
              <a:effectLst/>
            </a:endParaRPr>
          </a:p>
        </xdr:txBody>
      </xdr:sp>
      <xdr:sp macro="" textlink="">
        <xdr:nvSpPr>
          <xdr:cNvPr id="8" name="Right Arrow 33">
            <a:extLst>
              <a:ext uri="{FF2B5EF4-FFF2-40B4-BE49-F238E27FC236}">
                <a16:creationId xmlns:a16="http://schemas.microsoft.com/office/drawing/2014/main" id="{2A654989-6AF2-5D86-213C-0CA5EA4AF73C}"/>
              </a:ext>
            </a:extLst>
          </xdr:cNvPr>
          <xdr:cNvSpPr/>
        </xdr:nvSpPr>
        <xdr:spPr>
          <a:xfrm>
            <a:off x="335173" y="22161383"/>
            <a:ext cx="180000" cy="144000"/>
          </a:xfrm>
          <a:prstGeom prst="right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  <xdr:sp macro="" textlink="">
        <xdr:nvSpPr>
          <xdr:cNvPr id="9" name="TextBox 39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9B90F447-BDF5-87EA-4CE9-AC900E09EFA3}"/>
              </a:ext>
            </a:extLst>
          </xdr:cNvPr>
          <xdr:cNvSpPr txBox="1"/>
        </xdr:nvSpPr>
        <xdr:spPr>
          <a:xfrm>
            <a:off x="10261600" y="22961600"/>
            <a:ext cx="1568450" cy="6159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</xdr:grpSp>
    <xdr:clientData/>
  </xdr:twoCellAnchor>
  <xdr:twoCellAnchor>
    <xdr:from>
      <xdr:col>1</xdr:col>
      <xdr:colOff>108805</xdr:colOff>
      <xdr:row>142</xdr:row>
      <xdr:rowOff>159235</xdr:rowOff>
    </xdr:from>
    <xdr:to>
      <xdr:col>21</xdr:col>
      <xdr:colOff>218969</xdr:colOff>
      <xdr:row>157</xdr:row>
      <xdr:rowOff>104326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2919249A-5B71-4DE1-948F-E5CBCAFCCAE4}"/>
            </a:ext>
          </a:extLst>
        </xdr:cNvPr>
        <xdr:cNvGrpSpPr/>
      </xdr:nvGrpSpPr>
      <xdr:grpSpPr>
        <a:xfrm>
          <a:off x="265687" y="29048000"/>
          <a:ext cx="14106311" cy="2970679"/>
          <a:chOff x="268197" y="24154205"/>
          <a:chExt cx="11798300" cy="2998395"/>
        </a:xfrm>
      </xdr:grpSpPr>
      <xdr:sp macro="" textlink="">
        <xdr:nvSpPr>
          <xdr:cNvPr id="11" name="TextBox 40">
            <a:extLst>
              <a:ext uri="{FF2B5EF4-FFF2-40B4-BE49-F238E27FC236}">
                <a16:creationId xmlns:a16="http://schemas.microsoft.com/office/drawing/2014/main" id="{51ED81D5-AB5D-DED5-7F9E-22000387526D}"/>
              </a:ext>
            </a:extLst>
          </xdr:cNvPr>
          <xdr:cNvSpPr txBox="1"/>
        </xdr:nvSpPr>
        <xdr:spPr>
          <a:xfrm>
            <a:off x="268197" y="24154205"/>
            <a:ext cx="11798300" cy="2660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 última fase do projeto das LMAT envolve a desmontagem das diferentes estruturas: os cabos de guarda e condutores, cadeias de isoladores e acessórios, apoios e respetivas fundações.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 descomissionamento/desativação das LMAT assemelha-se ao descrito na de construção, no que se refere às fontes de emissões de GEE de relevância:  i) associadas à deslocação dos trabalhadores, equipamentos, máquinas e materiais até ao local de intervenção, ii) a utilização de maquinaria com consumo energético/de combustível, iii) à possível perda de capacidade de sumidouro ao redor da implementação dos apoios, iv) o tratamento de resíduos de descomissionamento da LMAT e a v) reposição da capacidade de sumidouro dos acessos, da área ao redor dos apoios</a:t>
            </a:r>
            <a:r>
              <a:rPr lang="en-GB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, e da faixa de servidão</a:t>
            </a: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(entendendo que esta decorre fora do horizonte temporal do projeto, ou seja, após o seu término).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Com menor relevância, tem-se: a utilização do estaleiro pelos trabalhadores (expectavelmente com baixa contribuição para o total de GEE); a possível queima de resíduos de desflorestação (contribuição reduzida comparativamente a uma possível perda de sumidouro).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          </a:t>
            </a:r>
            <a:r>
              <a:rPr lang="en-GB" sz="1100" b="0" i="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Em virtude da execução do RNC 2050 (Roteiro para a Neutralidade Carbónica 2050), não são expectáveis emissões de GEE nesta etapa (pontos i, ii e iv), pelo que não será necessária informação adicional. No que se refere à reposição da capacidade de sumidouro dos acessos, na área ao redor dos apoios, e na faixa de servidão, será necessária informação relativamente às espécies a ocupar cada área e a área respetiva (hectares).</a:t>
            </a:r>
            <a:endParaRPr lang="en-GB" b="0">
              <a:effectLst/>
            </a:endParaRPr>
          </a:p>
          <a:p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          </a:t>
            </a:r>
            <a:r>
              <a:rPr lang="en-GB" sz="1100" b="0" i="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Estes dados podem ser recolhidos do plano de reflorestação da faixa de servidão.</a:t>
            </a:r>
            <a:endParaRPr lang="en-GB">
              <a:effectLst/>
            </a:endParaRPr>
          </a:p>
        </xdr:txBody>
      </xdr:sp>
      <xdr:sp macro="" textlink="">
        <xdr:nvSpPr>
          <xdr:cNvPr id="12" name="TextBox 4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5C30BE7E-4B7C-0F03-D126-F99051982262}"/>
              </a:ext>
            </a:extLst>
          </xdr:cNvPr>
          <xdr:cNvSpPr txBox="1"/>
        </xdr:nvSpPr>
        <xdr:spPr>
          <a:xfrm>
            <a:off x="8629650" y="26536650"/>
            <a:ext cx="1295400" cy="6159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  <xdr:sp macro="" textlink="">
        <xdr:nvSpPr>
          <xdr:cNvPr id="13" name="TextBox 4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49828E21-F085-60C7-71B6-9903A3399F79}"/>
              </a:ext>
            </a:extLst>
          </xdr:cNvPr>
          <xdr:cNvSpPr txBox="1"/>
        </xdr:nvSpPr>
        <xdr:spPr>
          <a:xfrm>
            <a:off x="10299700" y="26663650"/>
            <a:ext cx="14351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Começar</a:t>
            </a:r>
          </a:p>
        </xdr:txBody>
      </xdr:sp>
      <xdr:sp macro="" textlink="">
        <xdr:nvSpPr>
          <xdr:cNvPr id="14" name="Right Arrow 43">
            <a:extLst>
              <a:ext uri="{FF2B5EF4-FFF2-40B4-BE49-F238E27FC236}">
                <a16:creationId xmlns:a16="http://schemas.microsoft.com/office/drawing/2014/main" id="{3EE81FCD-9533-0D77-2D2F-D7E40BC98F4A}"/>
              </a:ext>
            </a:extLst>
          </xdr:cNvPr>
          <xdr:cNvSpPr/>
        </xdr:nvSpPr>
        <xdr:spPr>
          <a:xfrm>
            <a:off x="374650" y="25806400"/>
            <a:ext cx="180000" cy="144000"/>
          </a:xfrm>
          <a:prstGeom prst="right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0</xdr:col>
      <xdr:colOff>123825</xdr:colOff>
      <xdr:row>56</xdr:row>
      <xdr:rowOff>66676</xdr:rowOff>
    </xdr:from>
    <xdr:to>
      <xdr:col>21</xdr:col>
      <xdr:colOff>47625</xdr:colOff>
      <xdr:row>71</xdr:row>
      <xdr:rowOff>85726</xdr:rowOff>
    </xdr:to>
    <xdr:grpSp>
      <xdr:nvGrpSpPr>
        <xdr:cNvPr id="15" name="Group 7">
          <a:extLst>
            <a:ext uri="{FF2B5EF4-FFF2-40B4-BE49-F238E27FC236}">
              <a16:creationId xmlns:a16="http://schemas.microsoft.com/office/drawing/2014/main" id="{B07CEBA1-F233-461A-81D1-8F0EB30A153A}"/>
            </a:ext>
          </a:extLst>
        </xdr:cNvPr>
        <xdr:cNvGrpSpPr/>
      </xdr:nvGrpSpPr>
      <xdr:grpSpPr>
        <a:xfrm>
          <a:off x="123825" y="11608735"/>
          <a:ext cx="14076829" cy="3044638"/>
          <a:chOff x="120493" y="10082759"/>
          <a:chExt cx="11741150" cy="3074441"/>
        </a:xfrm>
      </xdr:grpSpPr>
      <xdr:grpSp>
        <xdr:nvGrpSpPr>
          <xdr:cNvPr id="16" name="Group 5">
            <a:extLst>
              <a:ext uri="{FF2B5EF4-FFF2-40B4-BE49-F238E27FC236}">
                <a16:creationId xmlns:a16="http://schemas.microsoft.com/office/drawing/2014/main" id="{E18613E4-A7AC-369B-0909-8344F0184FD4}"/>
              </a:ext>
            </a:extLst>
          </xdr:cNvPr>
          <xdr:cNvGrpSpPr/>
        </xdr:nvGrpSpPr>
        <xdr:grpSpPr>
          <a:xfrm>
            <a:off x="120493" y="10082759"/>
            <a:ext cx="11741150" cy="2730500"/>
            <a:chOff x="120493" y="10082759"/>
            <a:chExt cx="11741150" cy="2730500"/>
          </a:xfrm>
        </xdr:grpSpPr>
        <xdr:sp macro="" textlink="">
          <xdr:nvSpPr>
            <xdr:cNvPr id="18" name="TextBox 4">
              <a:extLst>
                <a:ext uri="{FF2B5EF4-FFF2-40B4-BE49-F238E27FC236}">
                  <a16:creationId xmlns:a16="http://schemas.microsoft.com/office/drawing/2014/main" id="{166A9987-E8F8-6C19-FA80-06A0A5E4A031}"/>
                </a:ext>
              </a:extLst>
            </xdr:cNvPr>
            <xdr:cNvSpPr txBox="1"/>
          </xdr:nvSpPr>
          <xdr:spPr>
            <a:xfrm>
              <a:off x="120493" y="10082759"/>
              <a:ext cx="11741150" cy="27305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No local de implementação das LMAT, é efetuada a abertura da faixa de servidão/segurança, na qual decorre a remoção de biomassa, com 45 m de largura máxima (22,5 m a cada lado, paralelo ao eixo do traçado). No caso de povoamentos de eucalipto e pinheiro efetua-se a sua desflorestação, sendo que, no caso das restantes espécies florestais, estas são sujeitas a corte seletivo.</a:t>
              </a:r>
            </a:p>
            <a:p>
              <a: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Adicionalmente, é efetuada a abertura de uma área para suporte à implementação da infraestrutura (p. ex. para circulação do equipamento), na envolvente aos locais de implantação dos apoios. </a:t>
              </a:r>
            </a:p>
            <a:p>
              <a:b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</a:br>
              <a: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Nesta fase, as atividades mais relevantes para as emissões de GEE incluem: i) deslocação dos trabalhadores, equipamentos e máquinas, ii) utilização de eletricidade/combustível pela maquinaria (p.ex. motoserras, retroescavadoras),.</a:t>
              </a:r>
            </a:p>
            <a:p>
              <a:endParaRPr lang="en-GB" sz="1100" b="0" i="0" u="none" strike="noStrike" baseline="0">
                <a:solidFill>
                  <a:schemeClr val="dk1"/>
                </a:solidFill>
                <a:latin typeface="+mn-lt"/>
                <a:ea typeface="+mn-ea"/>
                <a:cs typeface="+mn-cs"/>
              </a:endParaRPr>
            </a:p>
            <a:p>
              <a: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Com menor relevância, tem-se: a utilização do estaleiro pelos trabalhadores (expectavelmente com baixa contribuição para o total de GEE); a abertura da área de suporte à implementação da infraestrutura (pois a ocupação é apenas durante a fase de obra, sendo a situação inicial reposta após esta, exceto raras exceções); </a:t>
              </a:r>
            </a:p>
            <a:p>
              <a:b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</a:br>
              <a: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           </a:t>
              </a:r>
              <a:r>
                <a:rPr lang="en-GB" sz="1100" b="0" i="0" u="sng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São necessárias as seguintes informações: dimensão da área de servidão (hectares); tipos de ocupação do uso do solo e espécies afetadas pela área de servidão e áreas respetivas (hectares).</a:t>
              </a:r>
            </a:p>
            <a:p>
              <a:r>
                <a:rPr lang="en-GB" sz="1100" b="0" i="0" u="none" strike="noStrike" baseline="0">
                  <a:solidFill>
                    <a:schemeClr val="dk1"/>
                  </a:solidFill>
                  <a:latin typeface="+mn-lt"/>
                  <a:ea typeface="+mn-ea"/>
                  <a:cs typeface="+mn-cs"/>
                </a:rPr>
                <a:t>           </a:t>
              </a:r>
              <a:r>
                <a:rPr lang="en-GB" sz="1100" b="0" i="0" u="sng" strike="noStrike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rPr>
                <a:t>Estes dados podem em princípio ser recolhidos no EIA.</a:t>
              </a:r>
              <a:endParaRPr lang="en-GB" i="0" u="sng">
                <a:solidFill>
                  <a:schemeClr val="tx1"/>
                </a:solidFill>
                <a:effectLst/>
              </a:endParaRPr>
            </a:p>
          </xdr:txBody>
        </xdr:sp>
        <xdr:sp macro="" textlink="">
          <xdr:nvSpPr>
            <xdr:cNvPr id="19" name="Right Arrow 3">
              <a:extLst>
                <a:ext uri="{FF2B5EF4-FFF2-40B4-BE49-F238E27FC236}">
                  <a16:creationId xmlns:a16="http://schemas.microsoft.com/office/drawing/2014/main" id="{71EBAFB2-D941-7C7D-F44C-88E7F3D4F3BB}"/>
                </a:ext>
              </a:extLst>
            </xdr:cNvPr>
            <xdr:cNvSpPr/>
          </xdr:nvSpPr>
          <xdr:spPr>
            <a:xfrm>
              <a:off x="314829" y="12015728"/>
              <a:ext cx="180000" cy="144000"/>
            </a:xfrm>
            <a:prstGeom prst="rightArrow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17" name="TextBox 2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849E623A-AAC4-E117-A6EC-D06CBD8E8305}"/>
              </a:ext>
            </a:extLst>
          </xdr:cNvPr>
          <xdr:cNvSpPr txBox="1"/>
        </xdr:nvSpPr>
        <xdr:spPr>
          <a:xfrm>
            <a:off x="10020300" y="12592050"/>
            <a:ext cx="1587500" cy="5651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</xdr:grpSp>
    <xdr:clientData/>
  </xdr:twoCellAnchor>
  <xdr:twoCellAnchor>
    <xdr:from>
      <xdr:col>1</xdr:col>
      <xdr:colOff>46520</xdr:colOff>
      <xdr:row>74</xdr:row>
      <xdr:rowOff>828</xdr:rowOff>
    </xdr:from>
    <xdr:to>
      <xdr:col>21</xdr:col>
      <xdr:colOff>30231</xdr:colOff>
      <xdr:row>97</xdr:row>
      <xdr:rowOff>107536</xdr:rowOff>
    </xdr:to>
    <xdr:grpSp>
      <xdr:nvGrpSpPr>
        <xdr:cNvPr id="20" name="Group 8">
          <a:extLst>
            <a:ext uri="{FF2B5EF4-FFF2-40B4-BE49-F238E27FC236}">
              <a16:creationId xmlns:a16="http://schemas.microsoft.com/office/drawing/2014/main" id="{8AA46999-3F64-480D-88AC-1A3A0A9D1DA5}"/>
            </a:ext>
          </a:extLst>
        </xdr:cNvPr>
        <xdr:cNvGrpSpPr/>
      </xdr:nvGrpSpPr>
      <xdr:grpSpPr>
        <a:xfrm>
          <a:off x="203402" y="15173593"/>
          <a:ext cx="13979858" cy="4745943"/>
          <a:chOff x="165100" y="13608050"/>
          <a:chExt cx="11626850" cy="4787900"/>
        </a:xfrm>
      </xdr:grpSpPr>
      <xdr:grpSp>
        <xdr:nvGrpSpPr>
          <xdr:cNvPr id="21" name="Group 6">
            <a:extLst>
              <a:ext uri="{FF2B5EF4-FFF2-40B4-BE49-F238E27FC236}">
                <a16:creationId xmlns:a16="http://schemas.microsoft.com/office/drawing/2014/main" id="{87E69C18-AB2B-2EAD-CD20-07FB57A56E0C}"/>
              </a:ext>
            </a:extLst>
          </xdr:cNvPr>
          <xdr:cNvGrpSpPr/>
        </xdr:nvGrpSpPr>
        <xdr:grpSpPr>
          <a:xfrm>
            <a:off x="165100" y="13608050"/>
            <a:ext cx="11595100" cy="4318000"/>
            <a:chOff x="165100" y="13608050"/>
            <a:chExt cx="11595100" cy="4318000"/>
          </a:xfrm>
        </xdr:grpSpPr>
        <xdr:sp macro="" textlink="">
          <xdr:nvSpPr>
            <xdr:cNvPr id="23" name="TextBox 35">
              <a:extLst>
                <a:ext uri="{FF2B5EF4-FFF2-40B4-BE49-F238E27FC236}">
                  <a16:creationId xmlns:a16="http://schemas.microsoft.com/office/drawing/2014/main" id="{9147FE9A-1021-AA6E-9D8A-2507CDC89D5E}"/>
                </a:ext>
              </a:extLst>
            </xdr:cNvPr>
            <xdr:cNvSpPr txBox="1"/>
          </xdr:nvSpPr>
          <xdr:spPr>
            <a:xfrm>
              <a:off x="165100" y="13608050"/>
              <a:ext cx="11595100" cy="4318000"/>
            </a:xfrm>
            <a:prstGeom prst="rect">
              <a:avLst/>
            </a:prstGeom>
            <a:solidFill>
              <a:schemeClr val="lt1"/>
            </a:solidFill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vertOverflow="clip" horzOverflow="clip" wrap="square" rtlCol="0" anchor="t"/>
            <a:lstStyle/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As atividades iniciam-se com a instalação do estaleiro e parque de materiais, tipicamente, em locais já infraestruturados na proximidade do local de construção. </a:t>
              </a:r>
              <a:endParaRPr lang="en-GB" b="0">
                <a:effectLst/>
              </a:endParaRPr>
            </a:p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Após isso, procede-se ao reconhecimento, sinalização e abertura dos acessos aos locais de implementação das LMAT.</a:t>
              </a:r>
              <a:endParaRPr lang="en-GB" b="0">
                <a:effectLst/>
              </a:endParaRPr>
            </a:p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É efetuada a piquetagem e marcação dos caboucos dos apoios, procedendo-se então à abertura dos caboucos, recorrendo a retroescavadoras, podendo ser necessária a utilização de explosivos. Uma vez abertos, é efetuada uma ligação à terra, e são construídos os maciços de fundação, sendo utilizado betão produzido no local com recurso a betoneiras. Estabelecidas as fundações, são montados os apoios (recorrendo a gruas), maioritariamente constituídos por estruturas metálicas e, com menor relevância em termos mássicos, parafusos e sinalética.</a:t>
              </a:r>
              <a:endParaRPr lang="en-GB" b="0">
                <a:effectLst/>
              </a:endParaRPr>
            </a:p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Posteriormente, são colocados e fixados os cabos condutores e de guarda utilizando um equipamento de desenrolamento de cabos em tensão mecânica. Na eventualidade de, durante colocação dos cabos, ser necessário ultrapassar obstáculos (p.ex. estradas), são colocadas estruturas de proteção (cabos e obstáculos).</a:t>
              </a:r>
              <a:endParaRPr lang="en-GB" b="0">
                <a:effectLst/>
              </a:endParaRPr>
            </a:p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A construção é concluída com a colocação de balizagem aérea e dispositivos salva-pássaros. </a:t>
              </a:r>
              <a:endParaRPr lang="en-GB" b="0">
                <a:effectLst/>
              </a:endParaRPr>
            </a:p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</a:t>
              </a:r>
              <a:endParaRPr lang="en-GB" b="0">
                <a:effectLst/>
              </a:endParaRPr>
            </a:p>
            <a:p>
              <a:pPr rtl="0"/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Destas atividades resultam emissões de GEE de relevância i) associadas à deslocação dos trabalhadores, equipamentos, máquinas e materiais até ao local de intervenção, ii) a utilização de maquinaria com consumo energético/de combustível, iii) a produção de materiais, iv) a possível perda de capacidade de sumidouro na abertura de acessos, pois apesar de no fim de vida ser reposta a situação inicial, estes acessos serão mantidos até ao descomissionamento (não sendo a capacidade de sumidouro reposta durante o horizonte temporal do projeto), e </a:t>
              </a:r>
              <a:r>
                <a:rPr lang="en-GB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v) o tratamento de resíduos de construção.</a:t>
              </a:r>
              <a:endParaRPr lang="en-GB" b="0">
                <a:solidFill>
                  <a:schemeClr val="tx1"/>
                </a:solidFill>
                <a:effectLst/>
              </a:endParaRPr>
            </a:p>
            <a:p>
              <a:pPr rtl="0"/>
              <a:br>
                <a:rPr lang="en-GB" b="0">
                  <a:effectLst/>
                </a:rPr>
              </a:br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Com menor relevância, tem-se: a utilização do estaleiro pelos trabalhadores (expectavelmente com baixa contribuição para o total de GEE); a possível queima de resíduos de desflorestação (contribuição reduzida comparativamente à perda total de sumidouro); a produção dos materiais utilizados na piquetagem e marcação de caboucos e na colocação de cabos (reutilizáveis e, assim, a sua contribuição para 1 só projeto espera-se irrelevante); produção de dispositivos menores, como de balizagem e sinalética (contribuição mássica comparativamente irrelevante); produção e utilização de explosivos (situação incomum); produção da água utilizada na produção de cimento e o respetivo tratamento das águas residuais de lavagem das betoneiras (contribuição comparativamente irrelevante). </a:t>
              </a:r>
              <a:endParaRPr lang="en-GB" b="0">
                <a:effectLst/>
              </a:endParaRPr>
            </a:p>
            <a:p>
              <a:pPr rtl="0"/>
              <a:br>
                <a:rPr lang="en-GB" b="0">
                  <a:effectLst/>
                </a:rPr>
              </a:br>
              <a:br>
                <a:rPr lang="en-GB" b="0">
                  <a:effectLst/>
                </a:rPr>
              </a:br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          </a:t>
              </a:r>
              <a:r>
                <a:rPr lang="en-GB" sz="1100" b="0" i="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São necessárias as seguintes informações: extensão total da LMAT em análise; peso dos apoios; extensão de cabo condutor; extensão de OPGW (</a:t>
              </a:r>
              <a:r>
                <a:rPr lang="en-GB" sz="1100" b="0" i="1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optical ground wire</a:t>
              </a:r>
              <a:r>
                <a:rPr lang="en-GB" sz="1100" b="0" i="0" u="sng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); extensão de cabo de guarda; número de cadeias de isoladores; peso de betão; peso da armadura; área de novos acessos e espécies respetivas presentes a ser abatidas (hectares).</a:t>
              </a:r>
              <a:endParaRPr lang="en-GB" b="0">
                <a:effectLst/>
              </a:endParaRPr>
            </a:p>
            <a:p>
              <a:r>
                <a:rPr lang="en-GB" sz="1100" b="0" i="0" u="none" strike="noStrike">
                  <a:solidFill>
                    <a:schemeClr val="dk1"/>
                  </a:solidFill>
                  <a:effectLst/>
                  <a:latin typeface="+mn-lt"/>
                  <a:ea typeface="+mn-ea"/>
                  <a:cs typeface="+mn-cs"/>
                </a:rPr>
                <a:t>         </a:t>
              </a:r>
              <a:r>
                <a:rPr lang="en-GB" sz="1100" b="0" i="0" u="none" strike="noStrike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  </a:t>
              </a:r>
              <a:r>
                <a:rPr lang="en-GB" sz="1100" b="0" i="0" u="sng">
                  <a:solidFill>
                    <a:schemeClr val="tx1"/>
                  </a:solidFill>
                  <a:effectLst/>
                  <a:latin typeface="+mn-lt"/>
                  <a:ea typeface="+mn-ea"/>
                  <a:cs typeface="+mn-cs"/>
                </a:rPr>
                <a:t>Estes dados podem ser recolhidos diretamente das informações do projeto, exceto a informação referente aos acessos, que será em princípio proveniente do EIA.</a:t>
              </a:r>
              <a:endParaRPr lang="en-GB" i="0" u="sng">
                <a:solidFill>
                  <a:schemeClr val="tx1"/>
                </a:solidFill>
                <a:effectLst/>
              </a:endParaRPr>
            </a:p>
          </xdr:txBody>
        </xdr:sp>
        <xdr:sp macro="" textlink="">
          <xdr:nvSpPr>
            <xdr:cNvPr id="24" name="Right Arrow 24">
              <a:extLst>
                <a:ext uri="{FF2B5EF4-FFF2-40B4-BE49-F238E27FC236}">
                  <a16:creationId xmlns:a16="http://schemas.microsoft.com/office/drawing/2014/main" id="{0047804F-6062-D83B-4E01-48F3B5C4712B}"/>
                </a:ext>
              </a:extLst>
            </xdr:cNvPr>
            <xdr:cNvSpPr/>
          </xdr:nvSpPr>
          <xdr:spPr>
            <a:xfrm>
              <a:off x="368300" y="17246600"/>
              <a:ext cx="180000" cy="144000"/>
            </a:xfrm>
            <a:prstGeom prst="rightArrow">
              <a:avLst/>
            </a:prstGeom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GB" sz="1100"/>
            </a:p>
          </xdr:txBody>
        </xdr:sp>
      </xdr:grpSp>
      <xdr:sp macro="" textlink="">
        <xdr:nvSpPr>
          <xdr:cNvPr id="22" name="TextBox 3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ABCF8C67-5207-B0AE-AD29-91D8E5521BD4}"/>
              </a:ext>
            </a:extLst>
          </xdr:cNvPr>
          <xdr:cNvSpPr txBox="1"/>
        </xdr:nvSpPr>
        <xdr:spPr>
          <a:xfrm>
            <a:off x="10223500" y="17780000"/>
            <a:ext cx="1568450" cy="6159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</xdr:grpSp>
    <xdr:clientData/>
  </xdr:twoCellAnchor>
  <xdr:twoCellAnchor>
    <xdr:from>
      <xdr:col>3</xdr:col>
      <xdr:colOff>405190</xdr:colOff>
      <xdr:row>27</xdr:row>
      <xdr:rowOff>18143</xdr:rowOff>
    </xdr:from>
    <xdr:to>
      <xdr:col>19</xdr:col>
      <xdr:colOff>45358</xdr:colOff>
      <xdr:row>28</xdr:row>
      <xdr:rowOff>13607</xdr:rowOff>
    </xdr:to>
    <xdr:sp macro="" textlink="">
      <xdr:nvSpPr>
        <xdr:cNvPr id="25" name="Left Brace 26">
          <a:extLst>
            <a:ext uri="{FF2B5EF4-FFF2-40B4-BE49-F238E27FC236}">
              <a16:creationId xmlns:a16="http://schemas.microsoft.com/office/drawing/2014/main" id="{4616D2A7-5983-429D-B44C-17E84368314E}"/>
            </a:ext>
          </a:extLst>
        </xdr:cNvPr>
        <xdr:cNvSpPr/>
      </xdr:nvSpPr>
      <xdr:spPr>
        <a:xfrm rot="16200000">
          <a:off x="5694892" y="408516"/>
          <a:ext cx="173264" cy="7717368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10</xdr:col>
      <xdr:colOff>283532</xdr:colOff>
      <xdr:row>32</xdr:row>
      <xdr:rowOff>28726</xdr:rowOff>
    </xdr:from>
    <xdr:to>
      <xdr:col>10</xdr:col>
      <xdr:colOff>285044</xdr:colOff>
      <xdr:row>33</xdr:row>
      <xdr:rowOff>0</xdr:rowOff>
    </xdr:to>
    <xdr:cxnSp macro="">
      <xdr:nvCxnSpPr>
        <xdr:cNvPr id="26" name="Straight Arrow Connector 27">
          <a:extLst>
            <a:ext uri="{FF2B5EF4-FFF2-40B4-BE49-F238E27FC236}">
              <a16:creationId xmlns:a16="http://schemas.microsoft.com/office/drawing/2014/main" id="{033B5A86-580F-4F9E-94E6-653522EF6FEA}"/>
            </a:ext>
          </a:extLst>
        </xdr:cNvPr>
        <xdr:cNvCxnSpPr/>
      </xdr:nvCxnSpPr>
      <xdr:spPr>
        <a:xfrm>
          <a:off x="5331782" y="5092851"/>
          <a:ext cx="1512" cy="155424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255128</xdr:colOff>
      <xdr:row>34</xdr:row>
      <xdr:rowOff>198370</xdr:rowOff>
    </xdr:from>
    <xdr:to>
      <xdr:col>10</xdr:col>
      <xdr:colOff>255129</xdr:colOff>
      <xdr:row>36</xdr:row>
      <xdr:rowOff>43096</xdr:rowOff>
    </xdr:to>
    <xdr:cxnSp macro="">
      <xdr:nvCxnSpPr>
        <xdr:cNvPr id="27" name="Straight Arrow Connector 28">
          <a:extLst>
            <a:ext uri="{FF2B5EF4-FFF2-40B4-BE49-F238E27FC236}">
              <a16:creationId xmlns:a16="http://schemas.microsoft.com/office/drawing/2014/main" id="{BC3FE3AB-0B91-4A23-89BB-3F5FFE351281}"/>
            </a:ext>
          </a:extLst>
        </xdr:cNvPr>
        <xdr:cNvCxnSpPr/>
      </xdr:nvCxnSpPr>
      <xdr:spPr>
        <a:xfrm>
          <a:off x="5306553" y="5611745"/>
          <a:ext cx="1" cy="22572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9258</xdr:colOff>
      <xdr:row>42</xdr:row>
      <xdr:rowOff>17895</xdr:rowOff>
    </xdr:from>
    <xdr:to>
      <xdr:col>12</xdr:col>
      <xdr:colOff>9259</xdr:colOff>
      <xdr:row>43</xdr:row>
      <xdr:rowOff>26361</xdr:rowOff>
    </xdr:to>
    <xdr:cxnSp macro="">
      <xdr:nvCxnSpPr>
        <xdr:cNvPr id="28" name="Straight Arrow Connector 29">
          <a:extLst>
            <a:ext uri="{FF2B5EF4-FFF2-40B4-BE49-F238E27FC236}">
              <a16:creationId xmlns:a16="http://schemas.microsoft.com/office/drawing/2014/main" id="{5B9C16CE-36F9-42AE-A0E0-8180B3F9816D}"/>
            </a:ext>
          </a:extLst>
        </xdr:cNvPr>
        <xdr:cNvCxnSpPr/>
      </xdr:nvCxnSpPr>
      <xdr:spPr>
        <a:xfrm>
          <a:off x="6070333" y="6894945"/>
          <a:ext cx="1" cy="19261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30240</xdr:colOff>
      <xdr:row>15</xdr:row>
      <xdr:rowOff>113545</xdr:rowOff>
    </xdr:from>
    <xdr:to>
      <xdr:col>24</xdr:col>
      <xdr:colOff>108858</xdr:colOff>
      <xdr:row>15</xdr:row>
      <xdr:rowOff>122464</xdr:rowOff>
    </xdr:to>
    <xdr:cxnSp macro="">
      <xdr:nvCxnSpPr>
        <xdr:cNvPr id="29" name="Conexão reta 7">
          <a:extLst>
            <a:ext uri="{FF2B5EF4-FFF2-40B4-BE49-F238E27FC236}">
              <a16:creationId xmlns:a16="http://schemas.microsoft.com/office/drawing/2014/main" id="{2AE66455-B6D5-48E6-A738-E8296B81CFCA}"/>
            </a:ext>
          </a:extLst>
        </xdr:cNvPr>
        <xdr:cNvCxnSpPr/>
      </xdr:nvCxnSpPr>
      <xdr:spPr>
        <a:xfrm>
          <a:off x="7599440" y="2104270"/>
          <a:ext cx="4622043" cy="12094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173132</xdr:colOff>
      <xdr:row>125</xdr:row>
      <xdr:rowOff>153175</xdr:rowOff>
    </xdr:from>
    <xdr:to>
      <xdr:col>21</xdr:col>
      <xdr:colOff>280121</xdr:colOff>
      <xdr:row>140</xdr:row>
      <xdr:rowOff>6686</xdr:rowOff>
    </xdr:to>
    <xdr:grpSp>
      <xdr:nvGrpSpPr>
        <xdr:cNvPr id="30" name="Group 46">
          <a:extLst>
            <a:ext uri="{FF2B5EF4-FFF2-40B4-BE49-F238E27FC236}">
              <a16:creationId xmlns:a16="http://schemas.microsoft.com/office/drawing/2014/main" id="{E8DA56B6-ABE7-495F-A680-3B73CE2594D2}"/>
            </a:ext>
          </a:extLst>
        </xdr:cNvPr>
        <xdr:cNvGrpSpPr/>
      </xdr:nvGrpSpPr>
      <xdr:grpSpPr>
        <a:xfrm>
          <a:off x="330014" y="25612940"/>
          <a:ext cx="14103136" cy="2879099"/>
          <a:chOff x="305718" y="24255354"/>
          <a:chExt cx="11798300" cy="2897246"/>
        </a:xfrm>
      </xdr:grpSpPr>
      <xdr:sp macro="" textlink="">
        <xdr:nvSpPr>
          <xdr:cNvPr id="31" name="TextBox 47">
            <a:extLst>
              <a:ext uri="{FF2B5EF4-FFF2-40B4-BE49-F238E27FC236}">
                <a16:creationId xmlns:a16="http://schemas.microsoft.com/office/drawing/2014/main" id="{50057228-03D3-FBE3-5CB1-A580EFF17AFC}"/>
              </a:ext>
            </a:extLst>
          </xdr:cNvPr>
          <xdr:cNvSpPr txBox="1"/>
        </xdr:nvSpPr>
        <xdr:spPr>
          <a:xfrm>
            <a:off x="305718" y="24255354"/>
            <a:ext cx="11798300" cy="2660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 Balanço</a:t>
            </a: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Florestal visa contabilizar o impacto da LMAT no stock de CO2 e capacidade de sumidouros dos espaços rurais, quer em fase de estabelecimento quer no período de exploração. Assim considera-se neste Balanço: (i) a perda de CO2 equivalente armazenado na biomassa viva e morta, que é perdido pela intervenção para instalação da infraestrutura; (ii) a perda de capacidade de sequestro de carbono, nas áreas em que devido à existência da infraestrutura ocorre uma alteração da ocupação do solo, contabilizada para a totalidade do período de exploração; (iii) a capacidade de sequestro das áreas reflorestadas, </a:t>
            </a:r>
            <a:r>
              <a:rPr lang="en-GB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contabilizada para a totalidade do período de exploração.</a:t>
            </a:r>
            <a:endParaRPr lang="en-GB" b="0">
              <a:effectLst/>
            </a:endParaRPr>
          </a:p>
          <a:p>
            <a:pPr rtl="0"/>
            <a:endParaRPr lang="en-GB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GB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	</a:t>
            </a:r>
            <a:r>
              <a:rPr lang="en-GB" sz="1100" b="0" i="0" u="sng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São necessárias as seguintes informações: dimensão da área de servidão (hectares); tipos de ocupação do uso do solo e espécies afetadas pela área de servidão e áreas respetivas (hectares),</a:t>
            </a:r>
            <a:r>
              <a:rPr lang="en-GB" sz="1100" b="0" i="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tipo de vegetação plantada na faixa de servidão durante a sua gestão e áreas respetivas (hectares).</a:t>
            </a:r>
            <a:r>
              <a:rPr lang="pt-PT" sz="1100" b="0" i="0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À exceção dos dados de reflroestação da faixas, e</a:t>
            </a:r>
            <a:r>
              <a:rPr lang="en-GB" sz="1100" b="0" i="0" u="sng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stes dados podem em princípio ser recolhidos no EIA.</a:t>
            </a:r>
            <a:endParaRPr lang="pt-PT">
              <a:effectLst/>
            </a:endParaRPr>
          </a:p>
          <a:p>
            <a:endParaRPr lang="en-GB">
              <a:effectLst/>
            </a:endParaRPr>
          </a:p>
        </xdr:txBody>
      </xdr:sp>
      <xdr:sp macro="" textlink="">
        <xdr:nvSpPr>
          <xdr:cNvPr id="32" name="TextBox 4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4F5817A7-B3D5-72DD-8D7B-434DA6ED1346}"/>
              </a:ext>
            </a:extLst>
          </xdr:cNvPr>
          <xdr:cNvSpPr txBox="1"/>
        </xdr:nvSpPr>
        <xdr:spPr>
          <a:xfrm>
            <a:off x="8629650" y="26536650"/>
            <a:ext cx="1295400" cy="6159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  <xdr:sp macro="" textlink="">
        <xdr:nvSpPr>
          <xdr:cNvPr id="33" name="TextBox 49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A9F0DD17-163D-AB37-7F13-EAF086164AC5}"/>
              </a:ext>
            </a:extLst>
          </xdr:cNvPr>
          <xdr:cNvSpPr txBox="1"/>
        </xdr:nvSpPr>
        <xdr:spPr>
          <a:xfrm>
            <a:off x="10299700" y="26663650"/>
            <a:ext cx="14351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Começar</a:t>
            </a:r>
          </a:p>
        </xdr:txBody>
      </xdr:sp>
      <xdr:sp macro="" textlink="">
        <xdr:nvSpPr>
          <xdr:cNvPr id="34" name="Right Arrow 43">
            <a:extLst>
              <a:ext uri="{FF2B5EF4-FFF2-40B4-BE49-F238E27FC236}">
                <a16:creationId xmlns:a16="http://schemas.microsoft.com/office/drawing/2014/main" id="{6FDD77C6-585E-5182-7D8D-0BC8D5035DBC}"/>
              </a:ext>
            </a:extLst>
          </xdr:cNvPr>
          <xdr:cNvSpPr/>
        </xdr:nvSpPr>
        <xdr:spPr>
          <a:xfrm>
            <a:off x="864077" y="24993879"/>
            <a:ext cx="180000" cy="144000"/>
          </a:xfrm>
          <a:prstGeom prst="rightArrow">
            <a:avLst/>
          </a:prstGeom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GB" sz="1100"/>
          </a:p>
        </xdr:txBody>
      </xdr:sp>
    </xdr:grpSp>
    <xdr:clientData/>
  </xdr:twoCellAnchor>
  <xdr:twoCellAnchor>
    <xdr:from>
      <xdr:col>24</xdr:col>
      <xdr:colOff>108858</xdr:colOff>
      <xdr:row>15</xdr:row>
      <xdr:rowOff>176893</xdr:rowOff>
    </xdr:from>
    <xdr:to>
      <xdr:col>24</xdr:col>
      <xdr:colOff>136074</xdr:colOff>
      <xdr:row>26</xdr:row>
      <xdr:rowOff>81644</xdr:rowOff>
    </xdr:to>
    <xdr:cxnSp macro="">
      <xdr:nvCxnSpPr>
        <xdr:cNvPr id="35" name="Conexão reta 7">
          <a:extLst>
            <a:ext uri="{FF2B5EF4-FFF2-40B4-BE49-F238E27FC236}">
              <a16:creationId xmlns:a16="http://schemas.microsoft.com/office/drawing/2014/main" id="{CD1637DC-5316-4184-9AFD-24B3C9AC3BC0}"/>
            </a:ext>
          </a:extLst>
        </xdr:cNvPr>
        <xdr:cNvCxnSpPr/>
      </xdr:nvCxnSpPr>
      <xdr:spPr>
        <a:xfrm flipH="1" flipV="1">
          <a:off x="12221483" y="2170793"/>
          <a:ext cx="30391" cy="1895476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24</xdr:col>
      <xdr:colOff>155122</xdr:colOff>
      <xdr:row>26</xdr:row>
      <xdr:rowOff>68036</xdr:rowOff>
    </xdr:from>
    <xdr:to>
      <xdr:col>26</xdr:col>
      <xdr:colOff>421822</xdr:colOff>
      <xdr:row>26</xdr:row>
      <xdr:rowOff>87085</xdr:rowOff>
    </xdr:to>
    <xdr:cxnSp macro="">
      <xdr:nvCxnSpPr>
        <xdr:cNvPr id="36" name="Conexão reta 7">
          <a:extLst>
            <a:ext uri="{FF2B5EF4-FFF2-40B4-BE49-F238E27FC236}">
              <a16:creationId xmlns:a16="http://schemas.microsoft.com/office/drawing/2014/main" id="{8D0BE349-1AAE-4F72-8D39-BFC4EB169D5E}"/>
            </a:ext>
          </a:extLst>
        </xdr:cNvPr>
        <xdr:cNvCxnSpPr/>
      </xdr:nvCxnSpPr>
      <xdr:spPr>
        <a:xfrm flipH="1">
          <a:off x="12270922" y="4046311"/>
          <a:ext cx="1276350" cy="19049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32</xdr:col>
      <xdr:colOff>81643</xdr:colOff>
      <xdr:row>28</xdr:row>
      <xdr:rowOff>81643</xdr:rowOff>
    </xdr:from>
    <xdr:to>
      <xdr:col>32</xdr:col>
      <xdr:colOff>108858</xdr:colOff>
      <xdr:row>37</xdr:row>
      <xdr:rowOff>54429</xdr:rowOff>
    </xdr:to>
    <xdr:cxnSp macro="">
      <xdr:nvCxnSpPr>
        <xdr:cNvPr id="37" name="Conexão reta 7">
          <a:extLst>
            <a:ext uri="{FF2B5EF4-FFF2-40B4-BE49-F238E27FC236}">
              <a16:creationId xmlns:a16="http://schemas.microsoft.com/office/drawing/2014/main" id="{277C8988-66C6-43CC-8187-FDEF7E92D8F5}"/>
            </a:ext>
          </a:extLst>
        </xdr:cNvPr>
        <xdr:cNvCxnSpPr/>
      </xdr:nvCxnSpPr>
      <xdr:spPr>
        <a:xfrm>
          <a:off x="16239218" y="4428218"/>
          <a:ext cx="20865" cy="1598386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36</xdr:col>
      <xdr:colOff>329293</xdr:colOff>
      <xdr:row>28</xdr:row>
      <xdr:rowOff>97972</xdr:rowOff>
    </xdr:from>
    <xdr:to>
      <xdr:col>36</xdr:col>
      <xdr:colOff>356508</xdr:colOff>
      <xdr:row>37</xdr:row>
      <xdr:rowOff>70758</xdr:rowOff>
    </xdr:to>
    <xdr:cxnSp macro="">
      <xdr:nvCxnSpPr>
        <xdr:cNvPr id="38" name="Conexão reta 7">
          <a:extLst>
            <a:ext uri="{FF2B5EF4-FFF2-40B4-BE49-F238E27FC236}">
              <a16:creationId xmlns:a16="http://schemas.microsoft.com/office/drawing/2014/main" id="{474E6B29-F923-4496-B5DD-64BF9327CD25}"/>
            </a:ext>
          </a:extLst>
        </xdr:cNvPr>
        <xdr:cNvCxnSpPr/>
      </xdr:nvCxnSpPr>
      <xdr:spPr>
        <a:xfrm>
          <a:off x="18506168" y="4441372"/>
          <a:ext cx="20865" cy="1598386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20</xdr:col>
      <xdr:colOff>87389</xdr:colOff>
      <xdr:row>37</xdr:row>
      <xdr:rowOff>81643</xdr:rowOff>
    </xdr:from>
    <xdr:to>
      <xdr:col>36</xdr:col>
      <xdr:colOff>367393</xdr:colOff>
      <xdr:row>37</xdr:row>
      <xdr:rowOff>89052</xdr:rowOff>
    </xdr:to>
    <xdr:cxnSp macro="">
      <xdr:nvCxnSpPr>
        <xdr:cNvPr id="39" name="Conexão reta 7">
          <a:extLst>
            <a:ext uri="{FF2B5EF4-FFF2-40B4-BE49-F238E27FC236}">
              <a16:creationId xmlns:a16="http://schemas.microsoft.com/office/drawing/2014/main" id="{37579A3D-63C0-4087-A337-FEF92A7C441A}"/>
            </a:ext>
          </a:extLst>
        </xdr:cNvPr>
        <xdr:cNvCxnSpPr/>
      </xdr:nvCxnSpPr>
      <xdr:spPr>
        <a:xfrm flipV="1">
          <a:off x="10180714" y="6056993"/>
          <a:ext cx="8363554" cy="1059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299357</xdr:colOff>
      <xdr:row>19</xdr:row>
      <xdr:rowOff>40821</xdr:rowOff>
    </xdr:from>
    <xdr:to>
      <xdr:col>10</xdr:col>
      <xdr:colOff>312964</xdr:colOff>
      <xdr:row>21</xdr:row>
      <xdr:rowOff>163286</xdr:rowOff>
    </xdr:to>
    <xdr:cxnSp macro="">
      <xdr:nvCxnSpPr>
        <xdr:cNvPr id="40" name="Straight Arrow Connector 27">
          <a:extLst>
            <a:ext uri="{FF2B5EF4-FFF2-40B4-BE49-F238E27FC236}">
              <a16:creationId xmlns:a16="http://schemas.microsoft.com/office/drawing/2014/main" id="{10F72CFE-C2ED-45F1-AA91-B9E7829683C6}"/>
            </a:ext>
          </a:extLst>
        </xdr:cNvPr>
        <xdr:cNvCxnSpPr/>
      </xdr:nvCxnSpPr>
      <xdr:spPr>
        <a:xfrm>
          <a:off x="5344432" y="2755446"/>
          <a:ext cx="19957" cy="48124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25400</xdr:colOff>
      <xdr:row>215</xdr:row>
      <xdr:rowOff>120650</xdr:rowOff>
    </xdr:from>
    <xdr:to>
      <xdr:col>21</xdr:col>
      <xdr:colOff>114300</xdr:colOff>
      <xdr:row>230</xdr:row>
      <xdr:rowOff>88900</xdr:rowOff>
    </xdr:to>
    <xdr:grpSp>
      <xdr:nvGrpSpPr>
        <xdr:cNvPr id="41" name="Group 7">
          <a:extLst>
            <a:ext uri="{FF2B5EF4-FFF2-40B4-BE49-F238E27FC236}">
              <a16:creationId xmlns:a16="http://schemas.microsoft.com/office/drawing/2014/main" id="{88E479CF-2CBF-4EBF-B39B-6E576BB9BD2B}"/>
            </a:ext>
          </a:extLst>
        </xdr:cNvPr>
        <xdr:cNvGrpSpPr/>
      </xdr:nvGrpSpPr>
      <xdr:grpSpPr>
        <a:xfrm>
          <a:off x="182282" y="43733944"/>
          <a:ext cx="14085047" cy="2993838"/>
          <a:chOff x="190500" y="10140950"/>
          <a:chExt cx="11741150" cy="3016250"/>
        </a:xfrm>
      </xdr:grpSpPr>
      <xdr:sp macro="" textlink="">
        <xdr:nvSpPr>
          <xdr:cNvPr id="44" name="TextBox 4">
            <a:extLst>
              <a:ext uri="{FF2B5EF4-FFF2-40B4-BE49-F238E27FC236}">
                <a16:creationId xmlns:a16="http://schemas.microsoft.com/office/drawing/2014/main" id="{06C87144-D005-2129-B9ED-7DF10EF32169}"/>
              </a:ext>
            </a:extLst>
          </xdr:cNvPr>
          <xdr:cNvSpPr txBox="1"/>
        </xdr:nvSpPr>
        <xdr:spPr>
          <a:xfrm>
            <a:off x="190500" y="10140950"/>
            <a:ext cx="11741150" cy="27305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No local de implementação da subestação, é efetuada a abertura da área de implantação da plataforma, na qual decorre a remoção de biomassa. No caso de povoamentos de eucalipto e pinheiro efetua-se a sua desflorestação, sendo que, no caso das restantes espécies florestais, estas são sujeitas a decote. É efetuado a desmatação, incluindo o corte e/ou arranque de árvores e arbustos, seu transporte a qualquer distância para fora dos terrenos da REN e restantes operações necessárias para o efeito. Também é efetuado a decapagem de terra vegetal numa espessura média de 0.40m. </a:t>
            </a:r>
          </a:p>
          <a:p>
            <a:endParaRPr lang="en-GB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  <a:p>
            <a: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Adicionalmente é efetuado a abertura para os acessos e remoçao de biomassa de terrenos anexos.    </a:t>
            </a:r>
          </a:p>
          <a:p>
            <a:endParaRPr lang="en-GB" sz="1100" b="0" i="0" u="none" strike="noStrike" baseline="0">
              <a:solidFill>
                <a:sysClr val="windowText" lastClr="000000"/>
              </a:solidFill>
              <a:latin typeface="+mn-lt"/>
              <a:ea typeface="+mn-ea"/>
              <a:cs typeface="+mn-cs"/>
            </a:endParaRPr>
          </a:p>
          <a:p>
            <a: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Nesta fase, as atividades mais relevantes para as emissões de GEE incluem: i) deslocação dos trabalhadores, equipamentos e máquinas, ii) utilização de eletricidade/combustível pela maquinaria (p.ex. motoserras, retroescavadoras), e iii) remoção de cobertura terrestre vegetal para a área de implantação.</a:t>
            </a:r>
          </a:p>
          <a:p>
            <a:b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</a:br>
            <a: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Com menor relevância, tem-se: a utilização do estaleiro pelos trabalhadores (expectavelmente com baixa contribuição para o total de GEE); a abertura da área de suporte à implementação da infraestrutura (pois a ocupação é apenas durante a fase de obra, sendo a situação inicial reposta após esta, exceto raras exceções); e a possível queima de resíduos de desflorestação.</a:t>
            </a:r>
            <a:b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</a:br>
            <a: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           </a:t>
            </a:r>
            <a:r>
              <a:rPr lang="en-GB" sz="1100" b="0" i="0" u="sng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São necessárias as seguintes informações: dimensão da área de implantação (hectares); tipos de ocupação do uso do solo e espécies afetadas pela área de implantação e áreas respetivas (hectares).</a:t>
            </a:r>
          </a:p>
          <a:p>
            <a:r>
              <a:rPr lang="en-GB" sz="1100" b="0" i="0" u="none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           </a:t>
            </a:r>
            <a:r>
              <a:rPr lang="en-GB" sz="1100" b="0" i="0" u="sng" strike="noStrike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rPr>
              <a:t>Estes dados podem em princípio ser recolhidos no EIA.</a:t>
            </a:r>
            <a:endParaRPr lang="en-GB" i="0" u="sng">
              <a:solidFill>
                <a:sysClr val="windowText" lastClr="000000"/>
              </a:solidFill>
              <a:effectLst/>
            </a:endParaRPr>
          </a:p>
        </xdr:txBody>
      </xdr:sp>
      <xdr:sp macro="" textlink="">
        <xdr:nvSpPr>
          <xdr:cNvPr id="43" name="TextBox 21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68752001-A6F8-ACCD-39EB-EDB2CE293DCA}"/>
              </a:ext>
            </a:extLst>
          </xdr:cNvPr>
          <xdr:cNvSpPr txBox="1"/>
        </xdr:nvSpPr>
        <xdr:spPr>
          <a:xfrm>
            <a:off x="10020300" y="12592050"/>
            <a:ext cx="1587500" cy="5651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ctr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</xdr:grpSp>
    <xdr:clientData/>
  </xdr:twoCellAnchor>
  <xdr:twoCellAnchor>
    <xdr:from>
      <xdr:col>1</xdr:col>
      <xdr:colOff>0</xdr:colOff>
      <xdr:row>232</xdr:row>
      <xdr:rowOff>133350</xdr:rowOff>
    </xdr:from>
    <xdr:to>
      <xdr:col>20</xdr:col>
      <xdr:colOff>292100</xdr:colOff>
      <xdr:row>256</xdr:row>
      <xdr:rowOff>44450</xdr:rowOff>
    </xdr:to>
    <xdr:grpSp>
      <xdr:nvGrpSpPr>
        <xdr:cNvPr id="46" name="Group 8">
          <a:extLst>
            <a:ext uri="{FF2B5EF4-FFF2-40B4-BE49-F238E27FC236}">
              <a16:creationId xmlns:a16="http://schemas.microsoft.com/office/drawing/2014/main" id="{CBF5B561-198A-4D91-948E-949B5DFC0947}"/>
            </a:ext>
          </a:extLst>
        </xdr:cNvPr>
        <xdr:cNvGrpSpPr/>
      </xdr:nvGrpSpPr>
      <xdr:grpSpPr>
        <a:xfrm>
          <a:off x="156882" y="47175644"/>
          <a:ext cx="13985689" cy="4752041"/>
          <a:chOff x="165100" y="13608050"/>
          <a:chExt cx="11626850" cy="4787900"/>
        </a:xfrm>
      </xdr:grpSpPr>
      <xdr:sp macro="" textlink="">
        <xdr:nvSpPr>
          <xdr:cNvPr id="49" name="TextBox 35">
            <a:extLst>
              <a:ext uri="{FF2B5EF4-FFF2-40B4-BE49-F238E27FC236}">
                <a16:creationId xmlns:a16="http://schemas.microsoft.com/office/drawing/2014/main" id="{5E4C74B7-9D0C-683F-F1A3-AB5704D4CDEB}"/>
              </a:ext>
            </a:extLst>
          </xdr:cNvPr>
          <xdr:cNvSpPr txBox="1"/>
        </xdr:nvSpPr>
        <xdr:spPr>
          <a:xfrm>
            <a:off x="165100" y="13608050"/>
            <a:ext cx="11595100" cy="431800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As atividades iniciam-se com a instalação do estaleiro e parque de materiais, tipicamente, em locais já infraestruturados na proximidade do local de construção. 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Após isso, procede-se ao reconhecimento, sinalização e abertura dos acessos aos locais de implementação da</a:t>
            </a: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subestação</a:t>
            </a: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.</a:t>
            </a: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De seguida recorreu-se</a:t>
            </a: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à proteção do património instalando uma vedação física e sinalizada nos perímetros das ocorrências patrimoniais assinaladas</a:t>
            </a:r>
          </a:p>
          <a:p>
            <a:pPr rtl="0"/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É efetuado o movimento de terras, espalhamento  e  compactação, transporte de terras e contenção de terra e depois a pavimentação.</a:t>
            </a:r>
          </a:p>
          <a:p>
            <a:pPr rtl="0"/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Também é efetuado uma drenagem para garantia da continuidade do sistema de águas superficiais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A construção é concluída com a instalação</a:t>
            </a: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dos equipamentos da subestação.</a:t>
            </a:r>
          </a:p>
          <a:p>
            <a:pPr rtl="0"/>
            <a:endPara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rtl="0"/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Os equipamentos/materiais relevantes nesta fase foram:</a:t>
            </a:r>
            <a:b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</a:b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Materiais: Betão, estruturas metálicas</a:t>
            </a:r>
          </a:p>
          <a:p>
            <a:pPr rtl="0"/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Equipamentos: Seccionadores, disjuntores, transformadores de corrente, indutivos, capacitivos, de corrente e auxiliares, autotransformador, sistemas de proteção e controlo, isoladores, baterias e grupo diesel.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</a:t>
            </a:r>
            <a:endParaRPr lang="en-GB" b="0">
              <a:effectLst/>
            </a:endParaRPr>
          </a:p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Destas atividades resultam emissões de GEE de relevância i) associadas à deslocação dos trabalhadores, equipamentos, máquinas e materiais até ao local de intervenção, ii) a utilização de maquinaria com consumo energético/de combustível, iii) a produção de materiais, e i</a:t>
            </a:r>
            <a:r>
              <a:rPr lang="en-GB" sz="1100" b="0" i="0" u="none" strike="noStrike">
                <a:solidFill>
                  <a:schemeClr val="tx1"/>
                </a:solidFill>
                <a:effectLst/>
                <a:latin typeface="+mn-lt"/>
                <a:ea typeface="+mn-ea"/>
                <a:cs typeface="+mn-cs"/>
              </a:rPr>
              <a:t>v) o tratamento de resíduos de construção.</a:t>
            </a:r>
            <a:endParaRPr lang="en-GB" b="0">
              <a:solidFill>
                <a:schemeClr val="tx1"/>
              </a:solidFill>
              <a:effectLst/>
            </a:endParaRPr>
          </a:p>
          <a:p>
            <a:pPr rtl="0"/>
            <a:br>
              <a:rPr lang="en-GB" b="0">
                <a:effectLst/>
              </a:rPr>
            </a:br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Com menor relevância, tem-se: a utilização do estaleiro pelos trabalhadores (expectavelmente com baixa contribuição para o total de GEE); a possível queima de resíduos de desflorestação (contribuição reduzida comparativamente à perda total de sumidouro); a produção dos materiais utilizados na construção (reutilizáveis e, assim, a sua contribuição para 1 só projeto espera-se irrelevante); produção de dispositivos menores, como de balizagem e sinalética (contribuição mássica comparativamente irrelevante); produção da água utilizada na produção de cimento e o respetivo tratamento das águas residuais de lavagem das betoneiras (contribuição comparativamente irrelevante). </a:t>
            </a:r>
            <a:endParaRPr lang="en-GB" b="0">
              <a:effectLst/>
            </a:endParaRPr>
          </a:p>
          <a:p>
            <a:pPr rtl="0"/>
            <a:br>
              <a:rPr lang="en-GB" b="0">
                <a:effectLst/>
              </a:rPr>
            </a:br>
            <a:br>
              <a:rPr lang="en-GB" b="0">
                <a:effectLst/>
              </a:rPr>
            </a:br>
            <a:endParaRPr lang="en-GB" i="0" u="sng">
              <a:solidFill>
                <a:schemeClr val="tx1"/>
              </a:solidFill>
              <a:effectLst/>
            </a:endParaRPr>
          </a:p>
        </xdr:txBody>
      </xdr:sp>
      <xdr:sp macro="" textlink="">
        <xdr:nvSpPr>
          <xdr:cNvPr id="48" name="TextBox 37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ED6BB062-9527-265B-8F32-C631198D2AA8}"/>
              </a:ext>
            </a:extLst>
          </xdr:cNvPr>
          <xdr:cNvSpPr txBox="1"/>
        </xdr:nvSpPr>
        <xdr:spPr>
          <a:xfrm>
            <a:off x="10223500" y="17780000"/>
            <a:ext cx="1568450" cy="6159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</xdr:grpSp>
    <xdr:clientData/>
  </xdr:twoCellAnchor>
  <xdr:twoCellAnchor>
    <xdr:from>
      <xdr:col>10</xdr:col>
      <xdr:colOff>16587</xdr:colOff>
      <xdr:row>175</xdr:row>
      <xdr:rowOff>180999</xdr:rowOff>
    </xdr:from>
    <xdr:to>
      <xdr:col>10</xdr:col>
      <xdr:colOff>16588</xdr:colOff>
      <xdr:row>177</xdr:row>
      <xdr:rowOff>147282</xdr:rowOff>
    </xdr:to>
    <xdr:cxnSp macro="">
      <xdr:nvCxnSpPr>
        <xdr:cNvPr id="51" name="Straight Arrow Connector 34">
          <a:extLst>
            <a:ext uri="{FF2B5EF4-FFF2-40B4-BE49-F238E27FC236}">
              <a16:creationId xmlns:a16="http://schemas.microsoft.com/office/drawing/2014/main" id="{B4B8167D-2CD2-4D79-9B59-D1800E6DD8E3}"/>
            </a:ext>
          </a:extLst>
        </xdr:cNvPr>
        <xdr:cNvCxnSpPr/>
      </xdr:nvCxnSpPr>
      <xdr:spPr>
        <a:xfrm>
          <a:off x="9674937" y="3343299"/>
          <a:ext cx="1" cy="366333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152258</xdr:colOff>
      <xdr:row>190</xdr:row>
      <xdr:rowOff>49359</xdr:rowOff>
    </xdr:from>
    <xdr:to>
      <xdr:col>18</xdr:col>
      <xdr:colOff>408215</xdr:colOff>
      <xdr:row>191</xdr:row>
      <xdr:rowOff>31215</xdr:rowOff>
    </xdr:to>
    <xdr:sp macro="" textlink="">
      <xdr:nvSpPr>
        <xdr:cNvPr id="52" name="Left Brace 44">
          <a:extLst>
            <a:ext uri="{FF2B5EF4-FFF2-40B4-BE49-F238E27FC236}">
              <a16:creationId xmlns:a16="http://schemas.microsoft.com/office/drawing/2014/main" id="{A3F14933-A99D-47CC-8B70-21795EDE78EB}"/>
            </a:ext>
          </a:extLst>
        </xdr:cNvPr>
        <xdr:cNvSpPr/>
      </xdr:nvSpPr>
      <xdr:spPr>
        <a:xfrm rot="16200000">
          <a:off x="9190421" y="-1159254"/>
          <a:ext cx="181881" cy="16638957"/>
        </a:xfrm>
        <a:prstGeom prst="leftBrace">
          <a:avLst/>
        </a:prstGeom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lang="pt-PT" sz="1100"/>
        </a:p>
      </xdr:txBody>
    </xdr:sp>
    <xdr:clientData/>
  </xdr:twoCellAnchor>
  <xdr:twoCellAnchor>
    <xdr:from>
      <xdr:col>10</xdr:col>
      <xdr:colOff>13607</xdr:colOff>
      <xdr:row>181</xdr:row>
      <xdr:rowOff>27214</xdr:rowOff>
    </xdr:from>
    <xdr:to>
      <xdr:col>10</xdr:col>
      <xdr:colOff>27214</xdr:colOff>
      <xdr:row>185</xdr:row>
      <xdr:rowOff>27215</xdr:rowOff>
    </xdr:to>
    <xdr:cxnSp macro="">
      <xdr:nvCxnSpPr>
        <xdr:cNvPr id="53" name="Straight Arrow Connector 45">
          <a:extLst>
            <a:ext uri="{FF2B5EF4-FFF2-40B4-BE49-F238E27FC236}">
              <a16:creationId xmlns:a16="http://schemas.microsoft.com/office/drawing/2014/main" id="{8D098E8D-9DDD-4C85-94AF-6E6CDC390BCF}"/>
            </a:ext>
          </a:extLst>
        </xdr:cNvPr>
        <xdr:cNvCxnSpPr/>
      </xdr:nvCxnSpPr>
      <xdr:spPr>
        <a:xfrm>
          <a:off x="9671957" y="4684939"/>
          <a:ext cx="13607" cy="895351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6091</xdr:colOff>
      <xdr:row>194</xdr:row>
      <xdr:rowOff>200185</xdr:rowOff>
    </xdr:from>
    <xdr:to>
      <xdr:col>10</xdr:col>
      <xdr:colOff>6092</xdr:colOff>
      <xdr:row>196</xdr:row>
      <xdr:rowOff>189785</xdr:rowOff>
    </xdr:to>
    <xdr:cxnSp macro="">
      <xdr:nvCxnSpPr>
        <xdr:cNvPr id="54" name="Straight Arrow Connector 46">
          <a:extLst>
            <a:ext uri="{FF2B5EF4-FFF2-40B4-BE49-F238E27FC236}">
              <a16:creationId xmlns:a16="http://schemas.microsoft.com/office/drawing/2014/main" id="{8CA991B5-2B3E-426E-8622-40A59BD6742C}"/>
            </a:ext>
          </a:extLst>
        </xdr:cNvPr>
        <xdr:cNvCxnSpPr/>
      </xdr:nvCxnSpPr>
      <xdr:spPr>
        <a:xfrm>
          <a:off x="9664441" y="8010685"/>
          <a:ext cx="1" cy="389650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615844</xdr:colOff>
      <xdr:row>202</xdr:row>
      <xdr:rowOff>17895</xdr:rowOff>
    </xdr:from>
    <xdr:to>
      <xdr:col>9</xdr:col>
      <xdr:colOff>615845</xdr:colOff>
      <xdr:row>203</xdr:row>
      <xdr:rowOff>29536</xdr:rowOff>
    </xdr:to>
    <xdr:cxnSp macro="">
      <xdr:nvCxnSpPr>
        <xdr:cNvPr id="55" name="Straight Arrow Connector 47">
          <a:extLst>
            <a:ext uri="{FF2B5EF4-FFF2-40B4-BE49-F238E27FC236}">
              <a16:creationId xmlns:a16="http://schemas.microsoft.com/office/drawing/2014/main" id="{5938D62E-821A-4D4F-9A7A-66697613AC4C}"/>
            </a:ext>
          </a:extLst>
        </xdr:cNvPr>
        <xdr:cNvCxnSpPr/>
      </xdr:nvCxnSpPr>
      <xdr:spPr>
        <a:xfrm>
          <a:off x="9169294" y="10247745"/>
          <a:ext cx="1" cy="211666"/>
        </a:xfrm>
        <a:prstGeom prst="straightConnector1">
          <a:avLst/>
        </a:prstGeom>
        <a:ln>
          <a:tailEnd type="triangle"/>
        </a:ln>
      </xdr:spPr>
      <xdr:style>
        <a:lnRef idx="3">
          <a:schemeClr val="accent1"/>
        </a:lnRef>
        <a:fillRef idx="0">
          <a:schemeClr val="accent1"/>
        </a:fillRef>
        <a:effectRef idx="2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33867</xdr:colOff>
      <xdr:row>175</xdr:row>
      <xdr:rowOff>190500</xdr:rowOff>
    </xdr:from>
    <xdr:to>
      <xdr:col>21</xdr:col>
      <xdr:colOff>171450</xdr:colOff>
      <xdr:row>175</xdr:row>
      <xdr:rowOff>201084</xdr:rowOff>
    </xdr:to>
    <xdr:cxnSp macro="">
      <xdr:nvCxnSpPr>
        <xdr:cNvPr id="56" name="Conexão reta 7">
          <a:extLst>
            <a:ext uri="{FF2B5EF4-FFF2-40B4-BE49-F238E27FC236}">
              <a16:creationId xmlns:a16="http://schemas.microsoft.com/office/drawing/2014/main" id="{ECD8667B-6062-429C-AF60-DFC9B0F40588}"/>
            </a:ext>
          </a:extLst>
        </xdr:cNvPr>
        <xdr:cNvCxnSpPr/>
      </xdr:nvCxnSpPr>
      <xdr:spPr>
        <a:xfrm flipV="1">
          <a:off x="13435542" y="3352800"/>
          <a:ext cx="5452533" cy="10584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8466</xdr:colOff>
      <xdr:row>200</xdr:row>
      <xdr:rowOff>55770</xdr:rowOff>
    </xdr:from>
    <xdr:to>
      <xdr:col>21</xdr:col>
      <xdr:colOff>125316</xdr:colOff>
      <xdr:row>200</xdr:row>
      <xdr:rowOff>57150</xdr:rowOff>
    </xdr:to>
    <xdr:cxnSp macro="">
      <xdr:nvCxnSpPr>
        <xdr:cNvPr id="57" name="Conexão reta 9">
          <a:extLst>
            <a:ext uri="{FF2B5EF4-FFF2-40B4-BE49-F238E27FC236}">
              <a16:creationId xmlns:a16="http://schemas.microsoft.com/office/drawing/2014/main" id="{F9498209-B863-48E7-BB98-95DA4107EDEF}"/>
            </a:ext>
          </a:extLst>
        </xdr:cNvPr>
        <xdr:cNvCxnSpPr/>
      </xdr:nvCxnSpPr>
      <xdr:spPr>
        <a:xfrm flipV="1">
          <a:off x="17944041" y="9466470"/>
          <a:ext cx="897900" cy="1380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152400</xdr:colOff>
      <xdr:row>176</xdr:row>
      <xdr:rowOff>52917</xdr:rowOff>
    </xdr:from>
    <xdr:to>
      <xdr:col>21</xdr:col>
      <xdr:colOff>152400</xdr:colOff>
      <xdr:row>206</xdr:row>
      <xdr:rowOff>99967</xdr:rowOff>
    </xdr:to>
    <xdr:cxnSp macro="">
      <xdr:nvCxnSpPr>
        <xdr:cNvPr id="58" name="Conexão reta 14">
          <a:extLst>
            <a:ext uri="{FF2B5EF4-FFF2-40B4-BE49-F238E27FC236}">
              <a16:creationId xmlns:a16="http://schemas.microsoft.com/office/drawing/2014/main" id="{60BCFCA0-28E5-4BCE-9C14-7E21B24C432A}"/>
            </a:ext>
          </a:extLst>
        </xdr:cNvPr>
        <xdr:cNvCxnSpPr/>
      </xdr:nvCxnSpPr>
      <xdr:spPr>
        <a:xfrm flipH="1">
          <a:off x="18869025" y="3415242"/>
          <a:ext cx="0" cy="7800400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19</xdr:col>
      <xdr:colOff>76200</xdr:colOff>
      <xdr:row>187</xdr:row>
      <xdr:rowOff>31749</xdr:rowOff>
    </xdr:from>
    <xdr:to>
      <xdr:col>21</xdr:col>
      <xdr:colOff>196850</xdr:colOff>
      <xdr:row>193</xdr:row>
      <xdr:rowOff>67234</xdr:rowOff>
    </xdr:to>
    <xdr:sp macro="" textlink="">
      <xdr:nvSpPr>
        <xdr:cNvPr id="59" name="TextBox 51">
          <a:extLst>
            <a:ext uri="{FF2B5EF4-FFF2-40B4-BE49-F238E27FC236}">
              <a16:creationId xmlns:a16="http://schemas.microsoft.com/office/drawing/2014/main" id="{EF26C3A3-4D0A-4784-A6F5-18CC07C64891}"/>
            </a:ext>
          </a:extLst>
        </xdr:cNvPr>
        <xdr:cNvSpPr txBox="1"/>
      </xdr:nvSpPr>
      <xdr:spPr>
        <a:xfrm>
          <a:off x="18011775" y="6175374"/>
          <a:ext cx="901700" cy="15118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GB" sz="1100"/>
        </a:p>
      </xdr:txBody>
    </xdr:sp>
    <xdr:clientData/>
  </xdr:twoCellAnchor>
  <xdr:twoCellAnchor>
    <xdr:from>
      <xdr:col>13</xdr:col>
      <xdr:colOff>57150</xdr:colOff>
      <xdr:row>206</xdr:row>
      <xdr:rowOff>171450</xdr:rowOff>
    </xdr:from>
    <xdr:to>
      <xdr:col>21</xdr:col>
      <xdr:colOff>158316</xdr:colOff>
      <xdr:row>206</xdr:row>
      <xdr:rowOff>182770</xdr:rowOff>
    </xdr:to>
    <xdr:cxnSp macro="">
      <xdr:nvCxnSpPr>
        <xdr:cNvPr id="60" name="Conexão reta 9">
          <a:extLst>
            <a:ext uri="{FF2B5EF4-FFF2-40B4-BE49-F238E27FC236}">
              <a16:creationId xmlns:a16="http://schemas.microsoft.com/office/drawing/2014/main" id="{06CB7FDF-B0B7-45EA-91BC-F3376C1446CD}"/>
            </a:ext>
          </a:extLst>
        </xdr:cNvPr>
        <xdr:cNvCxnSpPr/>
      </xdr:nvCxnSpPr>
      <xdr:spPr>
        <a:xfrm>
          <a:off x="13458825" y="11287125"/>
          <a:ext cx="5416116" cy="11320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195792</xdr:colOff>
      <xdr:row>175</xdr:row>
      <xdr:rowOff>188839</xdr:rowOff>
    </xdr:from>
    <xdr:to>
      <xdr:col>24</xdr:col>
      <xdr:colOff>408214</xdr:colOff>
      <xdr:row>175</xdr:row>
      <xdr:rowOff>190501</xdr:rowOff>
    </xdr:to>
    <xdr:cxnSp macro="">
      <xdr:nvCxnSpPr>
        <xdr:cNvPr id="61" name="Conexão reta 7">
          <a:extLst>
            <a:ext uri="{FF2B5EF4-FFF2-40B4-BE49-F238E27FC236}">
              <a16:creationId xmlns:a16="http://schemas.microsoft.com/office/drawing/2014/main" id="{91EB74A4-C88D-437F-B843-092E1BAE466C}"/>
            </a:ext>
          </a:extLst>
        </xdr:cNvPr>
        <xdr:cNvCxnSpPr/>
      </xdr:nvCxnSpPr>
      <xdr:spPr>
        <a:xfrm>
          <a:off x="18912417" y="3351139"/>
          <a:ext cx="1412572" cy="1662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24</xdr:col>
      <xdr:colOff>408214</xdr:colOff>
      <xdr:row>175</xdr:row>
      <xdr:rowOff>176893</xdr:rowOff>
    </xdr:from>
    <xdr:to>
      <xdr:col>24</xdr:col>
      <xdr:colOff>421821</xdr:colOff>
      <xdr:row>182</xdr:row>
      <xdr:rowOff>108857</xdr:rowOff>
    </xdr:to>
    <xdr:cxnSp macro="">
      <xdr:nvCxnSpPr>
        <xdr:cNvPr id="62" name="Conexão reta 7">
          <a:extLst>
            <a:ext uri="{FF2B5EF4-FFF2-40B4-BE49-F238E27FC236}">
              <a16:creationId xmlns:a16="http://schemas.microsoft.com/office/drawing/2014/main" id="{3ADDFF39-B9A6-462E-81CE-84DF87EEBF89}"/>
            </a:ext>
          </a:extLst>
        </xdr:cNvPr>
        <xdr:cNvCxnSpPr/>
      </xdr:nvCxnSpPr>
      <xdr:spPr>
        <a:xfrm>
          <a:off x="20324989" y="3339193"/>
          <a:ext cx="13607" cy="1627414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25</xdr:col>
      <xdr:colOff>27214</xdr:colOff>
      <xdr:row>182</xdr:row>
      <xdr:rowOff>54427</xdr:rowOff>
    </xdr:from>
    <xdr:to>
      <xdr:col>25</xdr:col>
      <xdr:colOff>396119</xdr:colOff>
      <xdr:row>182</xdr:row>
      <xdr:rowOff>54428</xdr:rowOff>
    </xdr:to>
    <xdr:cxnSp macro="">
      <xdr:nvCxnSpPr>
        <xdr:cNvPr id="63" name="Conexão reta 7">
          <a:extLst>
            <a:ext uri="{FF2B5EF4-FFF2-40B4-BE49-F238E27FC236}">
              <a16:creationId xmlns:a16="http://schemas.microsoft.com/office/drawing/2014/main" id="{486B1294-3064-40A8-BF77-2BFFC09AF382}"/>
            </a:ext>
          </a:extLst>
        </xdr:cNvPr>
        <xdr:cNvCxnSpPr/>
      </xdr:nvCxnSpPr>
      <xdr:spPr>
        <a:xfrm flipV="1">
          <a:off x="20420239" y="4912177"/>
          <a:ext cx="368905" cy="1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31</xdr:col>
      <xdr:colOff>43543</xdr:colOff>
      <xdr:row>186</xdr:row>
      <xdr:rowOff>16329</xdr:rowOff>
    </xdr:from>
    <xdr:to>
      <xdr:col>31</xdr:col>
      <xdr:colOff>81643</xdr:colOff>
      <xdr:row>200</xdr:row>
      <xdr:rowOff>27214</xdr:rowOff>
    </xdr:to>
    <xdr:cxnSp macro="">
      <xdr:nvCxnSpPr>
        <xdr:cNvPr id="64" name="Conexão reta 7">
          <a:extLst>
            <a:ext uri="{FF2B5EF4-FFF2-40B4-BE49-F238E27FC236}">
              <a16:creationId xmlns:a16="http://schemas.microsoft.com/office/drawing/2014/main" id="{FFECE7FB-9FAE-410B-8616-DC67228095CE}"/>
            </a:ext>
          </a:extLst>
        </xdr:cNvPr>
        <xdr:cNvCxnSpPr/>
      </xdr:nvCxnSpPr>
      <xdr:spPr>
        <a:xfrm>
          <a:off x="23294068" y="5864679"/>
          <a:ext cx="38100" cy="3573235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35</xdr:col>
      <xdr:colOff>318407</xdr:colOff>
      <xdr:row>186</xdr:row>
      <xdr:rowOff>19050</xdr:rowOff>
    </xdr:from>
    <xdr:to>
      <xdr:col>35</xdr:col>
      <xdr:colOff>367393</xdr:colOff>
      <xdr:row>200</xdr:row>
      <xdr:rowOff>27214</xdr:rowOff>
    </xdr:to>
    <xdr:cxnSp macro="">
      <xdr:nvCxnSpPr>
        <xdr:cNvPr id="65" name="Conexão reta 7">
          <a:extLst>
            <a:ext uri="{FF2B5EF4-FFF2-40B4-BE49-F238E27FC236}">
              <a16:creationId xmlns:a16="http://schemas.microsoft.com/office/drawing/2014/main" id="{BB0A7B89-7034-426C-8469-3D0E91DEA1F2}"/>
            </a:ext>
          </a:extLst>
        </xdr:cNvPr>
        <xdr:cNvCxnSpPr/>
      </xdr:nvCxnSpPr>
      <xdr:spPr>
        <a:xfrm>
          <a:off x="25473932" y="5867400"/>
          <a:ext cx="48986" cy="3570514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21</xdr:col>
      <xdr:colOff>186267</xdr:colOff>
      <xdr:row>200</xdr:row>
      <xdr:rowOff>40821</xdr:rowOff>
    </xdr:from>
    <xdr:to>
      <xdr:col>35</xdr:col>
      <xdr:colOff>367393</xdr:colOff>
      <xdr:row>200</xdr:row>
      <xdr:rowOff>54127</xdr:rowOff>
    </xdr:to>
    <xdr:cxnSp macro="">
      <xdr:nvCxnSpPr>
        <xdr:cNvPr id="66" name="Conexão reta 7">
          <a:extLst>
            <a:ext uri="{FF2B5EF4-FFF2-40B4-BE49-F238E27FC236}">
              <a16:creationId xmlns:a16="http://schemas.microsoft.com/office/drawing/2014/main" id="{3BF70199-15ED-486D-872B-83C9BDE0AF83}"/>
            </a:ext>
          </a:extLst>
        </xdr:cNvPr>
        <xdr:cNvCxnSpPr/>
      </xdr:nvCxnSpPr>
      <xdr:spPr>
        <a:xfrm flipV="1">
          <a:off x="18902892" y="9451521"/>
          <a:ext cx="6620026" cy="13306"/>
        </a:xfrm>
        <a:prstGeom prst="line">
          <a:avLst/>
        </a:prstGeom>
        <a:ln w="28575">
          <a:prstDash val="dash"/>
        </a:ln>
      </xdr:spPr>
      <xdr:style>
        <a:lnRef idx="1">
          <a:schemeClr val="accent6"/>
        </a:lnRef>
        <a:fillRef idx="0">
          <a:schemeClr val="accent6"/>
        </a:fillRef>
        <a:effectRef idx="0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259</xdr:row>
      <xdr:rowOff>2</xdr:rowOff>
    </xdr:from>
    <xdr:to>
      <xdr:col>36</xdr:col>
      <xdr:colOff>344473</xdr:colOff>
      <xdr:row>267</xdr:row>
      <xdr:rowOff>168090</xdr:rowOff>
    </xdr:to>
    <xdr:sp macro="" textlink="">
      <xdr:nvSpPr>
        <xdr:cNvPr id="68" name="TextBox 38">
          <a:extLst>
            <a:ext uri="{FF2B5EF4-FFF2-40B4-BE49-F238E27FC236}">
              <a16:creationId xmlns:a16="http://schemas.microsoft.com/office/drawing/2014/main" id="{4A068286-B4FA-CC4F-C74E-1FB723B52BC2}"/>
            </a:ext>
          </a:extLst>
        </xdr:cNvPr>
        <xdr:cNvSpPr txBox="1"/>
      </xdr:nvSpPr>
      <xdr:spPr>
        <a:xfrm>
          <a:off x="156882" y="52690061"/>
          <a:ext cx="18464385" cy="178173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Na fase de operação, decorre a sua utilização para a transformação de eletricidade, cuja produção e possíveis perdas têm emissões associadas (no âmbito do projeto, indiretas). É expectável que esta seja a principal contribuição em emissões de GEE desta fase. </a:t>
          </a:r>
          <a:endParaRPr lang="en-GB" b="0">
            <a:effectLst/>
          </a:endParaRPr>
        </a:p>
        <a:p>
          <a:pPr rtl="0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principal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contribuinte para emissões  de GEE na subestação será o autotransformador, onde as perdas na carga e em vazio ao longo do seu ciclo e vida poderam representar cerca de 96% das emissões de GEE do autotransformador. 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t-P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Subestações isoladas a ar/postos de corte: Considerar um horizonte temporal de 40 anos (horizonte temporal aplicável aos ativos e não à instalação em si).</a:t>
          </a:r>
        </a:p>
        <a:p>
          <a:pPr rtl="0"/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Nesta fase decorrem igualmente atividades de manutenção e de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substituição de equipamentos havendo deslocações periodicas ao local para inspeções fazendo parte da contabilização de emissões GEE nesta fase. </a:t>
          </a:r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Assim, de relevância para o balanço de GEE, nesta fase, tem-se: i) Perdas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do autotransformador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ii) a deslocação de trabalhadores ou equipamentos para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substituição e 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manutenção ao local, iii) utilização de maquinaria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para as manutenções (ex. plataformas).</a:t>
          </a:r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 menor relevância, tem-se a substituição de outros componentes e alterações por interferências de terceiros (ambas residuais).</a:t>
          </a:r>
          <a:endParaRPr lang="en-GB" b="0">
            <a:effectLst/>
          </a:endParaRPr>
        </a:p>
        <a:p>
          <a:pPr rtl="0"/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       </a:t>
          </a:r>
          <a:endParaRPr lang="en-GB" i="0" u="sng">
            <a:effectLst/>
          </a:endParaRPr>
        </a:p>
      </xdr:txBody>
    </xdr:sp>
    <xdr:clientData/>
  </xdr:twoCellAnchor>
  <xdr:twoCellAnchor>
    <xdr:from>
      <xdr:col>1</xdr:col>
      <xdr:colOff>1</xdr:colOff>
      <xdr:row>270</xdr:row>
      <xdr:rowOff>11208</xdr:rowOff>
    </xdr:from>
    <xdr:to>
      <xdr:col>21</xdr:col>
      <xdr:colOff>106990</xdr:colOff>
      <xdr:row>285</xdr:row>
      <xdr:rowOff>66425</xdr:rowOff>
    </xdr:to>
    <xdr:grpSp>
      <xdr:nvGrpSpPr>
        <xdr:cNvPr id="76" name="Group 46">
          <a:extLst>
            <a:ext uri="{FF2B5EF4-FFF2-40B4-BE49-F238E27FC236}">
              <a16:creationId xmlns:a16="http://schemas.microsoft.com/office/drawing/2014/main" id="{359B7867-622C-4C9B-8A89-E006B6B93918}"/>
            </a:ext>
          </a:extLst>
        </xdr:cNvPr>
        <xdr:cNvGrpSpPr/>
      </xdr:nvGrpSpPr>
      <xdr:grpSpPr>
        <a:xfrm>
          <a:off x="156883" y="54718326"/>
          <a:ext cx="14103136" cy="3080805"/>
          <a:chOff x="146352" y="24052377"/>
          <a:chExt cx="11798300" cy="3100223"/>
        </a:xfrm>
      </xdr:grpSpPr>
      <xdr:sp macro="" textlink="">
        <xdr:nvSpPr>
          <xdr:cNvPr id="77" name="TextBox 47">
            <a:extLst>
              <a:ext uri="{FF2B5EF4-FFF2-40B4-BE49-F238E27FC236}">
                <a16:creationId xmlns:a16="http://schemas.microsoft.com/office/drawing/2014/main" id="{BF9DAAEE-FBCB-EC61-7DE1-053121BCF394}"/>
              </a:ext>
            </a:extLst>
          </xdr:cNvPr>
          <xdr:cNvSpPr txBox="1"/>
        </xdr:nvSpPr>
        <xdr:spPr>
          <a:xfrm>
            <a:off x="146352" y="24052377"/>
            <a:ext cx="11798300" cy="2660650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rtl="0"/>
            <a:r>
              <a:rPr lang="en-GB" sz="1100" b="0" i="0" u="none" strike="noStrike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O Balanço</a:t>
            </a:r>
            <a:r>
              <a:rPr lang="en-GB" sz="1100" b="0" i="0" u="none" strike="noStrik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Florestal visa contabilizar o impacto da LMAT no stock de CO2 e capacidade de sumidouros dos espaços rurais, quer em fase de estabelecimento quer no período de exploração. Assim considera-se neste Balanço: (i) a perda de CO2 equivalente armazenado na biomassa viva e morta, que é perdido pela intervenção para instalação da infraestrutura; (ii) a perda de capacidade de sequestro de carbono, nas áreas em que devido à existência da infraestrutura ocorre uma alteração da ocupação do solo, contabilizada para a totalidade do período de exploração; (iii) a capacidade de sequestro das áreas reflorestadas, </a:t>
            </a:r>
            <a:r>
              <a:rPr lang="en-GB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contabilizada para a totalidade do período de exploração.</a:t>
            </a:r>
            <a:endParaRPr lang="en-GB" b="0">
              <a:effectLst/>
            </a:endParaRPr>
          </a:p>
          <a:p>
            <a:pPr rtl="0"/>
            <a:endParaRPr lang="en-GB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endParaRPr>
          </a:p>
          <a:p>
            <a:pPr marL="0" marR="0" lvl="0" indent="0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/>
            </a:pPr>
            <a:r>
              <a:rPr lang="en-GB" sz="1100" b="0" i="0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 	</a:t>
            </a:r>
            <a:r>
              <a:rPr lang="en-GB" sz="1100" b="0" i="0" u="sng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São necessárias as seguintes informações: dimensão da área de servidão (hectares); tipos de ocupação do uso do solo e espécies afetadas pela área de servidão e áreas respetivas (hectares),</a:t>
            </a:r>
            <a:r>
              <a:rPr lang="en-GB" sz="1100" b="0" i="0" u="sng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tipo de vegetação plantada na faixa de servidão durante a sua gestão e áreas respetivas (hectares).</a:t>
            </a:r>
            <a:r>
              <a:rPr lang="pt-PT" sz="1100" b="0" i="0" u="none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 À exceção dos dados de reflroestação da faixas, e</a:t>
            </a:r>
            <a:r>
              <a:rPr lang="en-GB" sz="1100" b="0" i="0" u="sng" baseline="0">
                <a:solidFill>
                  <a:schemeClr val="dk1"/>
                </a:solidFill>
                <a:effectLst/>
                <a:latin typeface="+mn-lt"/>
                <a:ea typeface="+mn-ea"/>
                <a:cs typeface="+mn-cs"/>
              </a:rPr>
              <a:t>stes dados podem em princípio ser recolhidos no EIA.</a:t>
            </a:r>
            <a:endParaRPr lang="pt-PT">
              <a:effectLst/>
            </a:endParaRPr>
          </a:p>
          <a:p>
            <a:endParaRPr lang="en-GB">
              <a:effectLst/>
            </a:endParaRPr>
          </a:p>
        </xdr:txBody>
      </xdr:sp>
      <xdr:sp macro="" textlink="">
        <xdr:nvSpPr>
          <xdr:cNvPr id="78" name="TextBox 48">
            <a:hlinkClick xmlns:r="http://schemas.openxmlformats.org/officeDocument/2006/relationships" r:id="rId5"/>
            <a:extLst>
              <a:ext uri="{FF2B5EF4-FFF2-40B4-BE49-F238E27FC236}">
                <a16:creationId xmlns:a16="http://schemas.microsoft.com/office/drawing/2014/main" id="{BBE803FE-23C1-3D71-921E-213BE86F7A8E}"/>
              </a:ext>
            </a:extLst>
          </xdr:cNvPr>
          <xdr:cNvSpPr txBox="1"/>
        </xdr:nvSpPr>
        <xdr:spPr>
          <a:xfrm>
            <a:off x="8629650" y="26536650"/>
            <a:ext cx="1295400" cy="61595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Voltar ao esquema</a:t>
            </a:r>
          </a:p>
        </xdr:txBody>
      </xdr:sp>
    </xdr:grpSp>
    <xdr:clientData/>
  </xdr:twoCellAnchor>
  <xdr:twoCellAnchor>
    <xdr:from>
      <xdr:col>0</xdr:col>
      <xdr:colOff>78441</xdr:colOff>
      <xdr:row>288</xdr:row>
      <xdr:rowOff>145676</xdr:rowOff>
    </xdr:from>
    <xdr:to>
      <xdr:col>18</xdr:col>
      <xdr:colOff>493058</xdr:colOff>
      <xdr:row>302</xdr:row>
      <xdr:rowOff>41991</xdr:rowOff>
    </xdr:to>
    <xdr:sp macro="" textlink="">
      <xdr:nvSpPr>
        <xdr:cNvPr id="81" name="TextBox 40">
          <a:extLst>
            <a:ext uri="{FF2B5EF4-FFF2-40B4-BE49-F238E27FC236}">
              <a16:creationId xmlns:a16="http://schemas.microsoft.com/office/drawing/2014/main" id="{753DEEC3-2C1F-4171-A316-3685D2F15FE8}"/>
            </a:ext>
          </a:extLst>
        </xdr:cNvPr>
        <xdr:cNvSpPr txBox="1"/>
      </xdr:nvSpPr>
      <xdr:spPr>
        <a:xfrm>
          <a:off x="78441" y="58483500"/>
          <a:ext cx="13043646" cy="272019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rtl="0"/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 última fase do projeto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da subestação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envolve a desmontagem dos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diferentes equipamentos instalados na subestação.</a:t>
          </a:r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 descomissionamento/desativação da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subestação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assemelha-se ao descrito na de</a:t>
          </a:r>
          <a:r>
            <a:rPr lang="en-GB" sz="1100" b="0" i="0" u="none" strike="noStrike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obra</a:t>
          </a: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 no que se refere às fontes de emissões de GEE de relevância:  i) associadas à deslocação dos trabalhadores, equipamentos, máquinas e materiais até ao local de intervenção, ii) a utilização de maquinaria com consumo energético/de combustível, iii) ao tratamento de resíduos de descomissionamento da subestação.</a:t>
          </a:r>
          <a:endParaRPr lang="en-GB" b="0">
            <a:effectLst/>
          </a:endParaRPr>
        </a:p>
        <a:p>
          <a:pPr rtl="0"/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Com menor relevância, tem-se: a utilização do estaleiro pelos trabalhadores (expectavelmente com baixa contribuição para o total de GEE); a possível queima de resíduos de desflorestação</a:t>
          </a:r>
          <a:br>
            <a:rPr lang="en-GB" b="0">
              <a:effectLst/>
            </a:rPr>
          </a:br>
          <a:r>
            <a:rPr lang="en-GB" sz="1100" b="0" i="0" u="none" strike="noStrike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          </a:t>
          </a:r>
          <a:r>
            <a:rPr lang="en-GB" sz="1100" b="0" i="0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Em virtude da execução do RNC 2050 (Roteiro para a Neutralidade Carbónica 2050), não são expectáveis emissões de GEE nesta etapa (pontos i, ii e iv), pelo que não será necessária informação adicional</a:t>
          </a:r>
          <a:endParaRPr lang="en-GB">
            <a:effectLst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427149</xdr:rowOff>
    </xdr:from>
    <xdr:to>
      <xdr:col>1</xdr:col>
      <xdr:colOff>428445</xdr:colOff>
      <xdr:row>1</xdr:row>
      <xdr:rowOff>293709</xdr:rowOff>
    </xdr:to>
    <xdr:pic>
      <xdr:nvPicPr>
        <xdr:cNvPr id="4" name="Imagem 1" descr="Logo_assinatura_email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0" y="427149"/>
          <a:ext cx="675037" cy="30682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35486</xdr:colOff>
      <xdr:row>0</xdr:row>
      <xdr:rowOff>314324</xdr:rowOff>
    </xdr:from>
    <xdr:to>
      <xdr:col>1</xdr:col>
      <xdr:colOff>266700</xdr:colOff>
      <xdr:row>2</xdr:row>
      <xdr:rowOff>57150</xdr:rowOff>
    </xdr:to>
    <xdr:pic>
      <xdr:nvPicPr>
        <xdr:cNvPr id="2" name="Imagem 1" descr="Logo_assinatura_emai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35486" y="314324"/>
          <a:ext cx="526489" cy="24765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267606</xdr:colOff>
      <xdr:row>1</xdr:row>
      <xdr:rowOff>228600</xdr:rowOff>
    </xdr:from>
    <xdr:to>
      <xdr:col>9</xdr:col>
      <xdr:colOff>1082676</xdr:colOff>
      <xdr:row>27</xdr:row>
      <xdr:rowOff>144235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1</xdr:row>
      <xdr:rowOff>1</xdr:rowOff>
    </xdr:from>
    <xdr:to>
      <xdr:col>0</xdr:col>
      <xdr:colOff>565150</xdr:colOff>
      <xdr:row>1</xdr:row>
      <xdr:rowOff>228601</xdr:rowOff>
    </xdr:to>
    <xdr:pic>
      <xdr:nvPicPr>
        <xdr:cNvPr id="11" name="Imagem 1" descr="Logo_assinatura_email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PicPr/>
      </xdr:nvPicPr>
      <xdr:blipFill rotWithShape="1">
        <a:blip xmlns:r="http://schemas.openxmlformats.org/officeDocument/2006/relationships" r:embed="rId2"/>
        <a:srcRect t="17544"/>
        <a:stretch>
          <a:fillRect/>
        </a:stretch>
      </xdr:blipFill>
      <xdr:spPr bwMode="auto">
        <a:xfrm>
          <a:off x="0" y="238126"/>
          <a:ext cx="561975" cy="2286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3</xdr:col>
      <xdr:colOff>945694</xdr:colOff>
      <xdr:row>32</xdr:row>
      <xdr:rowOff>163286</xdr:rowOff>
    </xdr:from>
    <xdr:to>
      <xdr:col>13</xdr:col>
      <xdr:colOff>884464</xdr:colOff>
      <xdr:row>70</xdr:row>
      <xdr:rowOff>190499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F1652232-E7DD-6A32-6DDD-96AFBF71EE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584200</xdr:colOff>
      <xdr:row>6</xdr:row>
      <xdr:rowOff>139700</xdr:rowOff>
    </xdr:from>
    <xdr:ext cx="5368925" cy="1814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TextBox 2">
              <a:extLst>
                <a:ext uri="{FF2B5EF4-FFF2-40B4-BE49-F238E27FC236}">
                  <a16:creationId xmlns:a16="http://schemas.microsoft.com/office/drawing/2014/main" id="{A0499FCB-F05B-4B73-BF55-09EB37DFBE40}"/>
                </a:ext>
              </a:extLst>
            </xdr:cNvPr>
            <xdr:cNvSpPr txBox="1"/>
          </xdr:nvSpPr>
          <xdr:spPr>
            <a:xfrm>
              <a:off x="2933700" y="2105025"/>
              <a:ext cx="5368925" cy="181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 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𝑃𝐶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+ </m:t>
                    </m:r>
                    <m:sSub>
                      <m:sSubPr>
                        <m:ctrlP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𝑘𝑚</m:t>
                        </m:r>
                      </m:e>
                      <m:sub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𝑐𝑎𝑏𝑜</m:t>
                        </m:r>
                      </m:sub>
                    </m:sSub>
                    <m:r>
                      <a:rPr lang="pt-PT" sz="105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𝑃𝐶</m:t>
                        </m:r>
                      </m:e>
                      <m:sub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𝑐𝑎𝑏𝑜</m:t>
                        </m:r>
                      </m:sub>
                    </m:sSub>
                    <m:r>
                      <a:rPr lang="pt-PT" sz="105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+</m:t>
                    </m:r>
                    <m:sSub>
                      <m:sSubPr>
                        <m:ctrlP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</m:t>
                        </m:r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/</m:t>
                        </m:r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𝑘𝑚</m:t>
                        </m:r>
                      </m:e>
                      <m:sub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𝑒𝑡𝑐</m:t>
                        </m:r>
                      </m:sub>
                    </m:sSub>
                    <m:r>
                      <a:rPr lang="pt-PT" sz="105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𝑃𝐶</m:t>
                        </m:r>
                      </m:e>
                      <m:sub>
                        <m:r>
                          <a:rPr lang="pt-PT" sz="105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𝑒𝑡𝑐</m:t>
                        </m:r>
                      </m:sub>
                    </m:sSub>
                    <m:r>
                      <a:rPr lang="pt-PT" sz="105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</m:oMath>
                </m:oMathPara>
              </a14:m>
              <a:endParaRPr lang="pt-PT" sz="1050"/>
            </a:p>
          </xdr:txBody>
        </xdr:sp>
      </mc:Choice>
      <mc:Fallback xmlns="">
        <xdr:sp macro="" textlink="">
          <xdr:nvSpPr>
            <xdr:cNvPr id="2" name="TextBox 2">
              <a:extLst>
                <a:ext uri="{FF2B5EF4-FFF2-40B4-BE49-F238E27FC236}">
                  <a16:creationId xmlns:a16="http://schemas.microsoft.com/office/drawing/2014/main" id="{A0499FCB-F05B-4B73-BF55-09EB37DFBE40}"/>
                </a:ext>
              </a:extLst>
            </xdr:cNvPr>
            <xdr:cNvSpPr txBox="1"/>
          </xdr:nvSpPr>
          <xdr:spPr>
            <a:xfrm>
              <a:off x="2933700" y="2105025"/>
              <a:ext cx="5368925" cy="181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 𝑡_𝑎𝑝𝑜𝑖𝑜∗〖𝑃𝐶〗_𝑎𝑝𝑜𝑖𝑜+ </a:t>
              </a:r>
              <a:r>
                <a:rPr lang="pt-PT" sz="105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〖𝑘𝑚〗_𝑐𝑎𝑏𝑜∗〖𝑃𝐶〗_𝑐𝑎𝑏𝑜+〖𝑡/𝑘𝑚〗_𝑒𝑡𝑐∗〖𝑃𝐶〗_𝑒𝑡𝑐  </a:t>
              </a:r>
              <a:endParaRPr lang="pt-PT" sz="1050"/>
            </a:p>
          </xdr:txBody>
        </xdr:sp>
      </mc:Fallback>
    </mc:AlternateContent>
    <xdr:clientData/>
  </xdr:oneCellAnchor>
  <xdr:oneCellAnchor>
    <xdr:from>
      <xdr:col>3</xdr:col>
      <xdr:colOff>1657</xdr:colOff>
      <xdr:row>7</xdr:row>
      <xdr:rowOff>152400</xdr:rowOff>
    </xdr:from>
    <xdr:ext cx="5368925" cy="18146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3" name="TextBox 3">
              <a:extLst>
                <a:ext uri="{FF2B5EF4-FFF2-40B4-BE49-F238E27FC236}">
                  <a16:creationId xmlns:a16="http://schemas.microsoft.com/office/drawing/2014/main" id="{A0067E1C-4D0D-45AC-81E9-48321F3F66BD}"/>
                </a:ext>
              </a:extLst>
            </xdr:cNvPr>
            <xdr:cNvSpPr txBox="1"/>
          </xdr:nvSpPr>
          <xdr:spPr>
            <a:xfrm>
              <a:off x="2354332" y="2600325"/>
              <a:ext cx="5368925" cy="181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 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𝑒𝑚𝑝𝑟𝑒𝑖𝑡𝑎𝑑𝑎𝑠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𝑐𝑜𝑛𝑠𝑡𝑟𝑢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í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𝑑𝑎𝑠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𝑘𝑚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𝑟𝑒𝑑𝑒</m:t>
                        </m:r>
                      </m:sub>
                    </m:sSub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3" name="TextBox 3">
              <a:extLst>
                <a:ext uri="{FF2B5EF4-FFF2-40B4-BE49-F238E27FC236}">
                  <a16:creationId xmlns:a16="http://schemas.microsoft.com/office/drawing/2014/main" id="{A0067E1C-4D0D-45AC-81E9-48321F3F66BD}"/>
                </a:ext>
              </a:extLst>
            </xdr:cNvPr>
            <xdr:cNvSpPr txBox="1"/>
          </xdr:nvSpPr>
          <xdr:spPr>
            <a:xfrm>
              <a:off x="2354332" y="2600325"/>
              <a:ext cx="5368925" cy="18146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 〖𝐹𝐸〗_(𝑒𝑚𝑝𝑟𝑒𝑖𝑡𝑎𝑑𝑎𝑠 𝑐𝑜𝑛𝑠𝑡𝑟𝑢í𝑑𝑎𝑠)∗〖𝑘𝑚〗_𝑟𝑒𝑑𝑒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5</xdr:col>
      <xdr:colOff>82550</xdr:colOff>
      <xdr:row>8</xdr:row>
      <xdr:rowOff>279400</xdr:rowOff>
    </xdr:from>
    <xdr:ext cx="5368925" cy="3566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4" name="TextBox 4">
              <a:extLst>
                <a:ext uri="{FF2B5EF4-FFF2-40B4-BE49-F238E27FC236}">
                  <a16:creationId xmlns:a16="http://schemas.microsoft.com/office/drawing/2014/main" id="{FF61B2EE-0AD7-4115-867A-9A79C9179D47}"/>
                </a:ext>
              </a:extLst>
            </xdr:cNvPr>
            <xdr:cNvSpPr txBox="1"/>
          </xdr:nvSpPr>
          <xdr:spPr>
            <a:xfrm>
              <a:off x="4219575" y="3209925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 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𝑛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𝑡𝑖𝑝𝑜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𝑖𝑛𝑠𝑝𝑒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∗50 </m:t>
                    </m:r>
                  </m:oMath>
                </m:oMathPara>
              </a14:m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4" name="TextBox 4">
              <a:extLst>
                <a:ext uri="{FF2B5EF4-FFF2-40B4-BE49-F238E27FC236}">
                  <a16:creationId xmlns:a16="http://schemas.microsoft.com/office/drawing/2014/main" id="{FF61B2EE-0AD7-4115-867A-9A79C9179D47}"/>
                </a:ext>
              </a:extLst>
            </xdr:cNvPr>
            <xdr:cNvSpPr txBox="1"/>
          </xdr:nvSpPr>
          <xdr:spPr>
            <a:xfrm>
              <a:off x="4219575" y="3209925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 𝑛_𝑎𝑝𝑜𝑖𝑜𝑠∗〖𝐹𝐸〗_(𝑡𝑖𝑝𝑜 𝑑𝑒 𝑖𝑛𝑠𝑝𝑒çã𝑜)∗50 </a:t>
              </a:r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:r>
                <a:rPr lang="pt-PT" sz="1100" b="0" i="0">
                  <a:latin typeface="Cambria Math" panose="02040503050406030204" pitchFamily="18" charset="0"/>
                </a:rPr>
                <a:t>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5</xdr:col>
      <xdr:colOff>101600</xdr:colOff>
      <xdr:row>9</xdr:row>
      <xdr:rowOff>222250</xdr:rowOff>
    </xdr:from>
    <xdr:ext cx="5368925" cy="3566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5" name="TextBox 5">
              <a:extLst>
                <a:ext uri="{FF2B5EF4-FFF2-40B4-BE49-F238E27FC236}">
                  <a16:creationId xmlns:a16="http://schemas.microsoft.com/office/drawing/2014/main" id="{A9F0FE88-5BD3-4247-84AE-495C02448C4F}"/>
                </a:ext>
              </a:extLst>
            </xdr:cNvPr>
            <xdr:cNvSpPr txBox="1"/>
          </xdr:nvSpPr>
          <xdr:spPr>
            <a:xfrm>
              <a:off x="4238625" y="3800475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%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𝑖𝑛𝑡𝑒𝑟𝑣𝑒𝑛𝑐𝑖𝑜𝑛𝑎𝑑𝑜𝑠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𝑛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𝑡𝑖𝑝𝑜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𝑖𝑛𝑠𝑝𝑒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∗50 </m:t>
                    </m:r>
                  </m:oMath>
                </m:oMathPara>
              </a14:m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5" name="TextBox 5">
              <a:extLst>
                <a:ext uri="{FF2B5EF4-FFF2-40B4-BE49-F238E27FC236}">
                  <a16:creationId xmlns:a16="http://schemas.microsoft.com/office/drawing/2014/main" id="{A9F0FE88-5BD3-4247-84AE-495C02448C4F}"/>
                </a:ext>
              </a:extLst>
            </xdr:cNvPr>
            <xdr:cNvSpPr txBox="1"/>
          </xdr:nvSpPr>
          <xdr:spPr>
            <a:xfrm>
              <a:off x="4238625" y="3800475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=%_(𝑎𝑝𝑜𝑖𝑜𝑠 𝑖𝑛𝑡𝑒𝑟𝑣𝑒𝑛𝑐𝑖𝑜𝑛𝑎𝑑𝑜𝑠 )∗𝑛_(𝑎𝑝𝑜𝑖𝑜𝑠 𝑡𝑜𝑡𝑎𝑙)∗〖𝐹𝐸〗_(𝑡𝑖𝑝𝑜 𝑑𝑒 𝑖𝑛𝑠𝑝𝑒çã𝑜)∗50 </a:t>
              </a:r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:r>
                <a:rPr lang="pt-PT" sz="1100" b="0" i="0">
                  <a:latin typeface="Cambria Math" panose="02040503050406030204" pitchFamily="18" charset="0"/>
                </a:rPr>
                <a:t>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4</xdr:col>
      <xdr:colOff>384175</xdr:colOff>
      <xdr:row>10</xdr:row>
      <xdr:rowOff>215900</xdr:rowOff>
    </xdr:from>
    <xdr:ext cx="5368925" cy="183320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6" name="TextBox 6">
              <a:extLst>
                <a:ext uri="{FF2B5EF4-FFF2-40B4-BE49-F238E27FC236}">
                  <a16:creationId xmlns:a16="http://schemas.microsoft.com/office/drawing/2014/main" id="{804F5E08-82ED-4DCD-B2C2-8560E297826E}"/>
                </a:ext>
              </a:extLst>
            </xdr:cNvPr>
            <xdr:cNvSpPr txBox="1"/>
          </xdr:nvSpPr>
          <xdr:spPr>
            <a:xfrm>
              <a:off x="3911600" y="4324350"/>
              <a:ext cx="5368925" cy="1833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𝑔𝑒𝑠𝑡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𝐹𝑆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h𝑎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𝑚𝑎𝑛𝑢𝑡𝑒𝑛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𝑑𝑎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𝐹𝑆</m:t>
                        </m:r>
                      </m:sub>
                    </m:sSub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6" name="TextBox 6">
              <a:extLst>
                <a:ext uri="{FF2B5EF4-FFF2-40B4-BE49-F238E27FC236}">
                  <a16:creationId xmlns:a16="http://schemas.microsoft.com/office/drawing/2014/main" id="{804F5E08-82ED-4DCD-B2C2-8560E297826E}"/>
                </a:ext>
              </a:extLst>
            </xdr:cNvPr>
            <xdr:cNvSpPr txBox="1"/>
          </xdr:nvSpPr>
          <xdr:spPr>
            <a:xfrm>
              <a:off x="3911600" y="4324350"/>
              <a:ext cx="5368925" cy="183320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=〖𝐹𝐸〗_(𝑔𝑒𝑠𝑡ã𝑜 𝐹𝑆)∗〖ℎ𝑎〗_(𝑚𝑎𝑛𝑢𝑡𝑒𝑛çã𝑜 𝑑𝑎 𝐹𝑆)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3</xdr:col>
      <xdr:colOff>646044</xdr:colOff>
      <xdr:row>11</xdr:row>
      <xdr:rowOff>160130</xdr:rowOff>
    </xdr:from>
    <xdr:ext cx="5368925" cy="3566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7" name="TextBox 10">
              <a:extLst>
                <a:ext uri="{FF2B5EF4-FFF2-40B4-BE49-F238E27FC236}">
                  <a16:creationId xmlns:a16="http://schemas.microsoft.com/office/drawing/2014/main" id="{5C2E3369-EEA3-41A2-84B1-733D316751F1}"/>
                </a:ext>
              </a:extLst>
            </xdr:cNvPr>
            <xdr:cNvSpPr txBox="1"/>
          </xdr:nvSpPr>
          <xdr:spPr>
            <a:xfrm>
              <a:off x="2998719" y="4792455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%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𝑖𝑛𝑡𝑒𝑟𝑣𝑒𝑛𝑐𝑖𝑜𝑛𝑎𝑑𝑜𝑠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𝑛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𝑡𝑖𝑝𝑜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𝑖𝑛𝑠𝑝𝑒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∗50 </m:t>
                    </m:r>
                  </m:oMath>
                </m:oMathPara>
              </a14:m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7" name="TextBox 10">
              <a:extLst>
                <a:ext uri="{FF2B5EF4-FFF2-40B4-BE49-F238E27FC236}">
                  <a16:creationId xmlns:a16="http://schemas.microsoft.com/office/drawing/2014/main" id="{5C2E3369-EEA3-41A2-84B1-733D316751F1}"/>
                </a:ext>
              </a:extLst>
            </xdr:cNvPr>
            <xdr:cNvSpPr txBox="1"/>
          </xdr:nvSpPr>
          <xdr:spPr>
            <a:xfrm>
              <a:off x="2998719" y="4792455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=%_(𝑎𝑝𝑜𝑖𝑜𝑠 𝑖𝑛𝑡𝑒𝑟𝑣𝑒𝑛𝑐𝑖𝑜𝑛𝑎𝑑𝑜𝑠 )∗𝑛_(𝑎𝑝𝑜𝑖𝑜𝑠 𝑡𝑜𝑡𝑎𝑙)∗〖𝐹𝐸〗_(𝑡𝑖𝑝𝑜 𝑑𝑒 𝑖𝑛𝑠𝑝𝑒çã𝑜)∗50 </a:t>
              </a:r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:r>
                <a:rPr lang="pt-PT" sz="1100" b="0" i="0">
                  <a:latin typeface="Cambria Math" panose="02040503050406030204" pitchFamily="18" charset="0"/>
                </a:rPr>
                <a:t>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5</xdr:col>
      <xdr:colOff>22915</xdr:colOff>
      <xdr:row>12</xdr:row>
      <xdr:rowOff>194642</xdr:rowOff>
    </xdr:from>
    <xdr:ext cx="5368925" cy="3566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8" name="TextBox 11">
              <a:extLst>
                <a:ext uri="{FF2B5EF4-FFF2-40B4-BE49-F238E27FC236}">
                  <a16:creationId xmlns:a16="http://schemas.microsoft.com/office/drawing/2014/main" id="{46E686B1-E64D-4A0D-AD94-E0B86BB24A0A}"/>
                </a:ext>
              </a:extLst>
            </xdr:cNvPr>
            <xdr:cNvSpPr txBox="1"/>
          </xdr:nvSpPr>
          <xdr:spPr>
            <a:xfrm>
              <a:off x="4159940" y="5350842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%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𝑖𝑛𝑡𝑒𝑟𝑣𝑒𝑛𝑐𝑖𝑜𝑛𝑎𝑑𝑜𝑠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𝑛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𝑡𝑖𝑝𝑜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𝑖𝑛𝑠𝑝𝑒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∗10 </m:t>
                    </m:r>
                  </m:oMath>
                </m:oMathPara>
              </a14:m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8" name="TextBox 11">
              <a:extLst>
                <a:ext uri="{FF2B5EF4-FFF2-40B4-BE49-F238E27FC236}">
                  <a16:creationId xmlns:a16="http://schemas.microsoft.com/office/drawing/2014/main" id="{46E686B1-E64D-4A0D-AD94-E0B86BB24A0A}"/>
                </a:ext>
              </a:extLst>
            </xdr:cNvPr>
            <xdr:cNvSpPr txBox="1"/>
          </xdr:nvSpPr>
          <xdr:spPr>
            <a:xfrm>
              <a:off x="4159940" y="5350842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=%_(𝑎𝑝𝑜𝑖𝑜𝑠 𝑖𝑛𝑡𝑒𝑟𝑣𝑒𝑛𝑐𝑖𝑜𝑛𝑎𝑑𝑜𝑠 )∗𝑛_(𝑎𝑝𝑜𝑖𝑜𝑠 𝑡𝑜𝑡𝑎𝑙)∗〖𝐹𝐸〗_(𝑡𝑖𝑝𝑜 𝑑𝑒 𝑖𝑛𝑠𝑝𝑒çã𝑜)∗10 </a:t>
              </a:r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:r>
                <a:rPr lang="pt-PT" sz="1100" b="0" i="0">
                  <a:latin typeface="Cambria Math" panose="02040503050406030204" pitchFamily="18" charset="0"/>
                </a:rPr>
                <a:t>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5</xdr:col>
      <xdr:colOff>18222</xdr:colOff>
      <xdr:row>13</xdr:row>
      <xdr:rowOff>225563</xdr:rowOff>
    </xdr:from>
    <xdr:ext cx="5368925" cy="35663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9" name="TextBox 13">
              <a:extLst>
                <a:ext uri="{FF2B5EF4-FFF2-40B4-BE49-F238E27FC236}">
                  <a16:creationId xmlns:a16="http://schemas.microsoft.com/office/drawing/2014/main" id="{1C03A780-3E86-4609-9D18-8F0D0C2F7AF3}"/>
                </a:ext>
              </a:extLst>
            </xdr:cNvPr>
            <xdr:cNvSpPr txBox="1"/>
          </xdr:nvSpPr>
          <xdr:spPr>
            <a:xfrm>
              <a:off x="4152072" y="5902463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%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𝑖𝑛𝑡𝑒𝑟𝑣𝑒𝑛𝑐𝑖𝑜𝑛𝑎𝑑𝑜𝑠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𝑛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𝑎𝑝𝑜𝑖𝑜𝑠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𝑡𝑜𝑡𝑎𝑙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𝑡𝑖𝑝𝑜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𝑖𝑛𝑠𝑝𝑒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çã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𝑜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∗50 </m:t>
                    </m:r>
                  </m:oMath>
                </m:oMathPara>
              </a14:m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r>
                      <a:rPr lang="pt-PT" sz="11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9" name="TextBox 13">
              <a:extLst>
                <a:ext uri="{FF2B5EF4-FFF2-40B4-BE49-F238E27FC236}">
                  <a16:creationId xmlns:a16="http://schemas.microsoft.com/office/drawing/2014/main" id="{1C03A780-3E86-4609-9D18-8F0D0C2F7AF3}"/>
                </a:ext>
              </a:extLst>
            </xdr:cNvPr>
            <xdr:cNvSpPr txBox="1"/>
          </xdr:nvSpPr>
          <xdr:spPr>
            <a:xfrm>
              <a:off x="4152072" y="5902463"/>
              <a:ext cx="5368925" cy="35663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=%_(𝑎𝑝𝑜𝑖𝑜𝑠 𝑖𝑛𝑡𝑒𝑟𝑣𝑒𝑛𝑐𝑖𝑜𝑛𝑎𝑑𝑜𝑠 )∗𝑛_(𝑎𝑝𝑜𝑖𝑜𝑠 𝑡𝑜𝑡𝑎𝑙)∗〖𝐹𝐸〗_(𝑡𝑖𝑝𝑜 𝑑𝑒 𝑖𝑛𝑠𝑝𝑒çã𝑜)∗50 </a:t>
              </a:r>
              <a:endParaRPr lang="pt-PT" sz="1100" b="0" i="1">
                <a:latin typeface="Cambria Math" panose="02040503050406030204" pitchFamily="18" charset="0"/>
              </a:endParaRPr>
            </a:p>
            <a:p>
              <a:pPr/>
              <a:r>
                <a:rPr lang="pt-PT" sz="1100" b="0" i="0">
                  <a:latin typeface="Cambria Math" panose="02040503050406030204" pitchFamily="18" charset="0"/>
                </a:rPr>
                <a:t> </a:t>
              </a:r>
              <a:endParaRPr lang="pt-PT" sz="1100"/>
            </a:p>
          </xdr:txBody>
        </xdr:sp>
      </mc:Fallback>
    </mc:AlternateContent>
    <xdr:clientData/>
  </xdr:oneCellAnchor>
  <xdr:oneCellAnchor>
    <xdr:from>
      <xdr:col>3</xdr:col>
      <xdr:colOff>1028700</xdr:colOff>
      <xdr:row>15</xdr:row>
      <xdr:rowOff>139700</xdr:rowOff>
    </xdr:from>
    <xdr:ext cx="5105400" cy="182999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0" name="TextBox 12">
              <a:extLst>
                <a:ext uri="{FF2B5EF4-FFF2-40B4-BE49-F238E27FC236}">
                  <a16:creationId xmlns:a16="http://schemas.microsoft.com/office/drawing/2014/main" id="{F6138E95-6CDF-479C-8283-B74A98156BD6}"/>
                </a:ext>
              </a:extLst>
            </xdr:cNvPr>
            <xdr:cNvSpPr txBox="1"/>
          </xdr:nvSpPr>
          <xdr:spPr>
            <a:xfrm>
              <a:off x="3381375" y="6867525"/>
              <a:ext cx="5105400" cy="1829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0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900" b="0" i="1">
                        <a:latin typeface="Cambria Math" panose="02040503050406030204" pitchFamily="18" charset="0"/>
                      </a:rPr>
                      <m:t>=</m:t>
                    </m:r>
                    <m:r>
                      <a:rPr lang="en-GB" sz="900" b="0" i="1">
                        <a:latin typeface="Cambria Math" panose="02040503050406030204" pitchFamily="18" charset="0"/>
                      </a:rPr>
                      <m:t>− </m:t>
                    </m:r>
                    <m:sSub>
                      <m:sSubPr>
                        <m:ctrlPr>
                          <a:rPr lang="pt-PT" sz="9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𝑡𝐶𝑂</m:t>
                        </m:r>
                      </m:e>
                      <m:sub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pt-PT" sz="90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𝑒</m:t>
                        </m:r>
                      </m:e>
                      <m:sub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𝑎𝑏𝑎𝑡𝑒</m:t>
                        </m:r>
                      </m:sub>
                    </m:sSub>
                    <m:r>
                      <a:rPr lang="pt-PT" sz="900" b="0" i="1">
                        <a:latin typeface="Cambria Math" panose="02040503050406030204" pitchFamily="18" charset="0"/>
                      </a:rPr>
                      <m:t>+ </m:t>
                    </m:r>
                    <m:sSub>
                      <m:sSubPr>
                        <m:ctrlP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</m:t>
                        </m:r>
                      </m:e>
                      <m:sub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𝑟𝑒𝑓𝑙𝑜𝑟𝑒𝑠𝑡𝑎</m:t>
                        </m:r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çã</m:t>
                        </m:r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</m:t>
                        </m:r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pt-PT" sz="10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𝐹𝑆</m:t>
                        </m:r>
                      </m:sub>
                    </m:sSub>
                    <m:r>
                      <a:rPr lang="pt-PT" sz="10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∗50−</m:t>
                    </m:r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 </m:t>
                    </m:r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𝑒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𝑑𝑒𝑠𝑓𝑙𝑜𝑟𝑒𝑠𝑡𝑎</m:t>
                        </m:r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çã</m:t>
                        </m:r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𝑜</m:t>
                        </m:r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 </m:t>
                        </m:r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𝐹𝑆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∗50</m:t>
                    </m:r>
                  </m:oMath>
                </m:oMathPara>
              </a14:m>
              <a:endParaRPr lang="pt-PT" sz="1000"/>
            </a:p>
          </xdr:txBody>
        </xdr:sp>
      </mc:Choice>
      <mc:Fallback xmlns="">
        <xdr:sp macro="" textlink="">
          <xdr:nvSpPr>
            <xdr:cNvPr id="10" name="TextBox 12">
              <a:extLst>
                <a:ext uri="{FF2B5EF4-FFF2-40B4-BE49-F238E27FC236}">
                  <a16:creationId xmlns:a16="http://schemas.microsoft.com/office/drawing/2014/main" id="{F6138E95-6CDF-479C-8283-B74A98156BD6}"/>
                </a:ext>
              </a:extLst>
            </xdr:cNvPr>
            <xdr:cNvSpPr txBox="1"/>
          </xdr:nvSpPr>
          <xdr:spPr>
            <a:xfrm>
              <a:off x="3381375" y="6867525"/>
              <a:ext cx="5105400" cy="182999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pt-PT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900" b="0" i="0">
                  <a:latin typeface="Cambria Math" panose="02040503050406030204" pitchFamily="18" charset="0"/>
                </a:rPr>
                <a:t>=</a:t>
              </a:r>
              <a:r>
                <a:rPr lang="en-GB" sz="900" b="0" i="0">
                  <a:latin typeface="Cambria Math" panose="02040503050406030204" pitchFamily="18" charset="0"/>
                </a:rPr>
                <a:t>− </a:t>
              </a:r>
              <a:r>
                <a:rPr lang="pt-PT" sz="900" b="0" i="0">
                  <a:latin typeface="Cambria Math" panose="02040503050406030204" pitchFamily="18" charset="0"/>
                </a:rPr>
                <a:t>〖𝑡𝐶𝑂〗_2 𝑒_𝑎𝑏𝑎𝑡𝑒+ </a:t>
              </a:r>
              <a:r>
                <a:rPr lang="pt-PT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</a:t>
              </a:r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𝑒</a:t>
              </a:r>
              <a:r>
                <a:rPr lang="pt-PT" sz="10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_(𝑟𝑒𝑓𝑙𝑜𝑟𝑒𝑠𝑡𝑎çã𝑜 𝐹𝑆)∗50−</a:t>
              </a:r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 〖𝑡𝐶𝑂〗_2 𝑒_(𝑑𝑒𝑠𝑓𝑙𝑜𝑟𝑒𝑠𝑡𝑎çã𝑜 𝐹𝑆)∗50</a:t>
              </a:r>
              <a:endParaRPr lang="pt-PT" sz="1000"/>
            </a:p>
          </xdr:txBody>
        </xdr:sp>
      </mc:Fallback>
    </mc:AlternateContent>
    <xdr:clientData/>
  </xdr:oneCellAnchor>
  <xdr:oneCellAnchor>
    <xdr:from>
      <xdr:col>4</xdr:col>
      <xdr:colOff>76200</xdr:colOff>
      <xdr:row>14</xdr:row>
      <xdr:rowOff>161925</xdr:rowOff>
    </xdr:from>
    <xdr:ext cx="6934200" cy="33547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1" name="TextBox 16">
              <a:extLst>
                <a:ext uri="{FF2B5EF4-FFF2-40B4-BE49-F238E27FC236}">
                  <a16:creationId xmlns:a16="http://schemas.microsoft.com/office/drawing/2014/main" id="{D39F2E3B-9AC3-4CEA-BB32-702CB01F49D4}"/>
                </a:ext>
              </a:extLst>
            </xdr:cNvPr>
            <xdr:cNvSpPr txBox="1"/>
          </xdr:nvSpPr>
          <xdr:spPr>
            <a:xfrm>
              <a:off x="3600450" y="6359525"/>
              <a:ext cx="6934200" cy="335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9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9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900" b="0" i="1">
                        <a:latin typeface="Cambria Math" panose="02040503050406030204" pitchFamily="18" charset="0"/>
                      </a:rPr>
                      <m:t>=</m:t>
                    </m:r>
                    <m:nary>
                      <m:naryPr>
                        <m:chr m:val="∑"/>
                        <m:subHide m:val="on"/>
                        <m:supHide m:val="on"/>
                        <m:ctrlPr>
                          <a:rPr lang="pt-PT" sz="900" b="0" i="1">
                            <a:latin typeface="Cambria Math" panose="02040503050406030204" pitchFamily="18" charset="0"/>
                          </a:rPr>
                        </m:ctrlPr>
                      </m:naryPr>
                      <m:sub/>
                      <m:sup/>
                      <m:e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𝑃𝑜𝑡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ê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𝑛𝑐𝑖𝑎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𝑖𝑛𝑡𝑒𝑔𝑟𝑎𝑑𝑎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𝑜𝑟𝑖𝑔𝑒𝑚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𝑟𝑒𝑛𝑜𝑣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á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𝑣𝑒𝑙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𝑛𝑜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𝑎𝑛𝑜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d>
                          <m:dPr>
                            <m:ctrlPr>
                              <a:rPr lang="en-GB" sz="900" b="0" i="1">
                                <a:latin typeface="Cambria Math" panose="02040503050406030204" pitchFamily="18" charset="0"/>
                              </a:rPr>
                            </m:ctrlPr>
                          </m:dPr>
                          <m:e>
                            <m:r>
                              <a:rPr lang="en-GB" sz="900" b="0" i="1">
                                <a:latin typeface="Cambria Math" panose="02040503050406030204" pitchFamily="18" charset="0"/>
                              </a:rPr>
                              <m:t>𝑀𝑊h</m:t>
                            </m:r>
                          </m:e>
                        </m:d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∗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𝐹𝑎𝑡𝑜𝑟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𝑑𝑒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𝑒𝑚𝑖𝑠𝑠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ã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𝑜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𝑑𝑜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𝑚𝑖𝑥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𝑒𝑛𝑒𝑟𝑔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é</m:t>
                        </m:r>
                        <m:r>
                          <a:rPr lang="pt-PT" sz="900" b="0" i="1">
                            <a:latin typeface="Cambria Math" panose="02040503050406030204" pitchFamily="18" charset="0"/>
                          </a:rPr>
                          <m:t>𝑡𝑖𝑐𝑜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𝑛𝑜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𝑎𝑛𝑜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𝑖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 (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𝑡</m:t>
                        </m:r>
                        <m:sSub>
                          <m:sSubPr>
                            <m:ctrlPr>
                              <a:rPr lang="en-GB" sz="900" b="0" i="1">
                                <a:latin typeface="Cambria Math" panose="02040503050406030204" pitchFamily="18" charset="0"/>
                              </a:rPr>
                            </m:ctrlPr>
                          </m:sSubPr>
                          <m:e>
                            <m:r>
                              <a:rPr lang="en-GB" sz="900" b="0" i="1">
                                <a:latin typeface="Cambria Math" panose="02040503050406030204" pitchFamily="18" charset="0"/>
                              </a:rPr>
                              <m:t>𝐶𝑂</m:t>
                            </m:r>
                          </m:e>
                          <m:sub>
                            <m:r>
                              <a:rPr lang="en-GB" sz="900" b="0" i="1">
                                <a:latin typeface="Cambria Math" panose="02040503050406030204" pitchFamily="18" charset="0"/>
                              </a:rPr>
                              <m:t>2</m:t>
                            </m:r>
                          </m:sub>
                        </m:sSub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𝑒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/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𝑀𝑊h</m:t>
                        </m:r>
                        <m:r>
                          <a:rPr lang="en-GB" sz="900" b="0" i="1">
                            <a:latin typeface="Cambria Math" panose="02040503050406030204" pitchFamily="18" charset="0"/>
                          </a:rPr>
                          <m:t>)</m:t>
                        </m:r>
                      </m:e>
                    </m:nary>
                    <m:r>
                      <a:rPr lang="pt-PT" sz="900" b="0" i="1">
                        <a:latin typeface="Cambria Math" panose="02040503050406030204" pitchFamily="18" charset="0"/>
                      </a:rPr>
                      <m:t> </m:t>
                    </m:r>
                  </m:oMath>
                </m:oMathPara>
              </a14:m>
              <a:endParaRPr lang="pt-PT" sz="900"/>
            </a:p>
          </xdr:txBody>
        </xdr:sp>
      </mc:Choice>
      <mc:Fallback xmlns="">
        <xdr:sp macro="" textlink="">
          <xdr:nvSpPr>
            <xdr:cNvPr id="11" name="TextBox 16">
              <a:extLst>
                <a:ext uri="{FF2B5EF4-FFF2-40B4-BE49-F238E27FC236}">
                  <a16:creationId xmlns:a16="http://schemas.microsoft.com/office/drawing/2014/main" id="{D39F2E3B-9AC3-4CEA-BB32-702CB01F49D4}"/>
                </a:ext>
              </a:extLst>
            </xdr:cNvPr>
            <xdr:cNvSpPr txBox="1"/>
          </xdr:nvSpPr>
          <xdr:spPr>
            <a:xfrm>
              <a:off x="3600450" y="6359525"/>
              <a:ext cx="6934200" cy="33547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lang="pt-PT" sz="9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900" b="0" i="0">
                  <a:latin typeface="Cambria Math" panose="02040503050406030204" pitchFamily="18" charset="0"/>
                </a:rPr>
                <a:t>=∑</a:t>
              </a:r>
              <a:r>
                <a:rPr lang="en-GB" sz="900" b="0" i="0">
                  <a:latin typeface="Cambria Math" panose="02040503050406030204" pitchFamily="18" charset="0"/>
                </a:rPr>
                <a:t>▒</a:t>
              </a:r>
              <a:r>
                <a:rPr lang="pt-PT" sz="900" b="0" i="0">
                  <a:latin typeface="Cambria Math" panose="02040503050406030204" pitchFamily="18" charset="0"/>
                </a:rPr>
                <a:t>〖𝑃𝑜𝑡ê𝑛𝑐𝑖𝑎 𝑖𝑛𝑡𝑒𝑔𝑟𝑎𝑑𝑎 𝑑𝑒 𝑜𝑟𝑖𝑔𝑒𝑚 𝑟𝑒𝑛𝑜𝑣á𝑣𝑒𝑙</a:t>
              </a:r>
              <a:r>
                <a:rPr lang="en-GB" sz="900" b="0" i="0">
                  <a:latin typeface="Cambria Math" panose="02040503050406030204" pitchFamily="18" charset="0"/>
                </a:rPr>
                <a:t> 𝑛𝑜 𝑎𝑛𝑜 𝑖 (𝑀𝑊ℎ)</a:t>
              </a:r>
              <a:r>
                <a:rPr lang="pt-PT" sz="900" b="0" i="0">
                  <a:latin typeface="Cambria Math" panose="02040503050406030204" pitchFamily="18" charset="0"/>
                </a:rPr>
                <a:t>∗𝐹𝑎𝑡𝑜𝑟 𝑑𝑒 𝑒𝑚𝑖𝑠𝑠ã𝑜 𝑑𝑜 𝑚𝑖𝑥 𝑒𝑛𝑒𝑟𝑔é𝑡𝑖𝑐𝑜</a:t>
              </a:r>
              <a:r>
                <a:rPr lang="en-GB" sz="900" b="0" i="0">
                  <a:latin typeface="Cambria Math" panose="02040503050406030204" pitchFamily="18" charset="0"/>
                </a:rPr>
                <a:t> 𝑛𝑜 𝑎𝑛𝑜 𝑖 (𝑡〖𝐶𝑂〗_2 𝑒/𝑀𝑊ℎ)</a:t>
              </a:r>
              <a:r>
                <a:rPr lang="pt-PT" sz="900" b="0" i="0">
                  <a:latin typeface="Cambria Math" panose="02040503050406030204" pitchFamily="18" charset="0"/>
                </a:rPr>
                <a:t>〗  </a:t>
              </a:r>
              <a:endParaRPr lang="pt-PT" sz="900"/>
            </a:p>
          </xdr:txBody>
        </xdr:sp>
      </mc:Fallback>
    </mc:AlternateContent>
    <xdr:clientData/>
  </xdr:oneCellAnchor>
  <xdr:twoCellAnchor>
    <xdr:from>
      <xdr:col>9</xdr:col>
      <xdr:colOff>561975</xdr:colOff>
      <xdr:row>1</xdr:row>
      <xdr:rowOff>47625</xdr:rowOff>
    </xdr:from>
    <xdr:to>
      <xdr:col>13</xdr:col>
      <xdr:colOff>238125</xdr:colOff>
      <xdr:row>3</xdr:row>
      <xdr:rowOff>85725</xdr:rowOff>
    </xdr:to>
    <xdr:grpSp>
      <xdr:nvGrpSpPr>
        <xdr:cNvPr id="12" name="Group 7">
          <a:extLst>
            <a:ext uri="{FF2B5EF4-FFF2-40B4-BE49-F238E27FC236}">
              <a16:creationId xmlns:a16="http://schemas.microsoft.com/office/drawing/2014/main" id="{4B8040E3-655E-487E-82C8-C5325097AE25}"/>
            </a:ext>
          </a:extLst>
        </xdr:cNvPr>
        <xdr:cNvGrpSpPr/>
      </xdr:nvGrpSpPr>
      <xdr:grpSpPr>
        <a:xfrm>
          <a:off x="7850671" y="246408"/>
          <a:ext cx="4024519" cy="419100"/>
          <a:chOff x="7943850" y="63500"/>
          <a:chExt cx="3670300" cy="406400"/>
        </a:xfrm>
      </xdr:grpSpPr>
      <xdr:sp macro="" textlink="">
        <xdr:nvSpPr>
          <xdr:cNvPr id="13" name="TextBox 20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390F73B8-4124-E2E5-E0F4-21921B5B9892}"/>
              </a:ext>
            </a:extLst>
          </xdr:cNvPr>
          <xdr:cNvSpPr txBox="1"/>
        </xdr:nvSpPr>
        <xdr:spPr>
          <a:xfrm>
            <a:off x="7943850" y="63500"/>
            <a:ext cx="116205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Início</a:t>
            </a:r>
          </a:p>
        </xdr:txBody>
      </xdr:sp>
      <xdr:sp macro="" textlink="">
        <xdr:nvSpPr>
          <xdr:cNvPr id="14" name="TextBox 21">
            <a:hlinkClick xmlns:r="http://schemas.openxmlformats.org/officeDocument/2006/relationships" r:id="rId2"/>
            <a:extLst>
              <a:ext uri="{FF2B5EF4-FFF2-40B4-BE49-F238E27FC236}">
                <a16:creationId xmlns:a16="http://schemas.microsoft.com/office/drawing/2014/main" id="{B472B98D-F612-941A-1EC2-1DF8A8D89152}"/>
              </a:ext>
            </a:extLst>
          </xdr:cNvPr>
          <xdr:cNvSpPr txBox="1"/>
        </xdr:nvSpPr>
        <xdr:spPr>
          <a:xfrm>
            <a:off x="9150350" y="63500"/>
            <a:ext cx="1079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Instruções</a:t>
            </a:r>
          </a:p>
        </xdr:txBody>
      </xdr:sp>
      <xdr:sp macro="" textlink="">
        <xdr:nvSpPr>
          <xdr:cNvPr id="15" name="TextBox 22">
            <a:hlinkClick xmlns:r="http://schemas.openxmlformats.org/officeDocument/2006/relationships" r:id="rId3"/>
            <a:extLst>
              <a:ext uri="{FF2B5EF4-FFF2-40B4-BE49-F238E27FC236}">
                <a16:creationId xmlns:a16="http://schemas.microsoft.com/office/drawing/2014/main" id="{54C60DF0-77FC-4D3C-1546-12834F3C22DC}"/>
              </a:ext>
            </a:extLst>
          </xdr:cNvPr>
          <xdr:cNvSpPr txBox="1"/>
        </xdr:nvSpPr>
        <xdr:spPr>
          <a:xfrm>
            <a:off x="10280650" y="63500"/>
            <a:ext cx="1333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Resultados</a:t>
            </a:r>
          </a:p>
        </xdr:txBody>
      </xdr:sp>
    </xdr:grpSp>
    <xdr:clientData/>
  </xdr:twoCellAnchor>
  <xdr:twoCellAnchor editAs="oneCell">
    <xdr:from>
      <xdr:col>0</xdr:col>
      <xdr:colOff>47627</xdr:colOff>
      <xdr:row>1</xdr:row>
      <xdr:rowOff>0</xdr:rowOff>
    </xdr:from>
    <xdr:to>
      <xdr:col>1</xdr:col>
      <xdr:colOff>173936</xdr:colOff>
      <xdr:row>2</xdr:row>
      <xdr:rowOff>49695</xdr:rowOff>
    </xdr:to>
    <xdr:pic>
      <xdr:nvPicPr>
        <xdr:cNvPr id="16" name="Imagem 15" descr="Logo_assinatura_email">
          <a:extLst>
            <a:ext uri="{FF2B5EF4-FFF2-40B4-BE49-F238E27FC236}">
              <a16:creationId xmlns:a16="http://schemas.microsoft.com/office/drawing/2014/main" id="{D985C2B6-C489-46EF-985E-1C57F45C13F8}"/>
            </a:ext>
          </a:extLst>
        </xdr:cNvPr>
        <xdr:cNvPicPr/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4"/>
        <a:stretch/>
      </xdr:blipFill>
      <xdr:spPr bwMode="auto">
        <a:xfrm>
          <a:off x="44452" y="200025"/>
          <a:ext cx="510484" cy="22749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3</xdr:col>
      <xdr:colOff>457200</xdr:colOff>
      <xdr:row>5</xdr:row>
      <xdr:rowOff>419100</xdr:rowOff>
    </xdr:from>
    <xdr:ext cx="5368925" cy="170175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17" name="TextBox 18">
              <a:extLst>
                <a:ext uri="{FF2B5EF4-FFF2-40B4-BE49-F238E27FC236}">
                  <a16:creationId xmlns:a16="http://schemas.microsoft.com/office/drawing/2014/main" id="{FBD0D0BB-D270-4E2C-97C3-259E0BD1ECC8}"/>
                </a:ext>
              </a:extLst>
            </xdr:cNvPr>
            <xdr:cNvSpPr txBox="1"/>
          </xdr:nvSpPr>
          <xdr:spPr>
            <a:xfrm>
              <a:off x="2809875" y="1419225"/>
              <a:ext cx="5368925" cy="1701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14:m>
                <m:oMathPara xmlns:m="http://schemas.openxmlformats.org/officeDocument/2006/math">
                  <m:oMathParaPr>
                    <m:jc m:val="centerGroup"/>
                  </m:oMathParaPr>
                  <m:oMath xmlns:m="http://schemas.openxmlformats.org/officeDocument/2006/math">
                    <m:sSub>
                      <m:sSubPr>
                        <m:ctrlP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</m:ctrlPr>
                      </m:sSubPr>
                      <m:e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𝑡𝐶𝑂</m:t>
                        </m:r>
                      </m:e>
                      <m:sub>
                        <m:r>
                          <a:rPr lang="pt-PT" sz="1100" b="0" i="1">
                            <a:solidFill>
                              <a:schemeClr val="tx1"/>
                            </a:solidFill>
                            <a:effectLst/>
                            <a:latin typeface="Cambria Math" panose="02040503050406030204" pitchFamily="18" charset="0"/>
                            <a:ea typeface="+mn-ea"/>
                            <a:cs typeface="+mn-cs"/>
                          </a:rPr>
                          <m:t>2</m:t>
                        </m:r>
                      </m:sub>
                    </m:sSub>
                    <m:r>
                      <a:rPr lang="pt-PT" sz="1100" b="0" i="1">
                        <a:solidFill>
                          <a:schemeClr val="tx1"/>
                        </a:solidFill>
                        <a:effectLst/>
                        <a:latin typeface="Cambria Math" panose="02040503050406030204" pitchFamily="18" charset="0"/>
                        <a:ea typeface="+mn-ea"/>
                        <a:cs typeface="+mn-cs"/>
                      </a:rPr>
                      <m:t>𝑒</m:t>
                    </m:r>
                    <m:r>
                      <a:rPr lang="pt-PT" sz="1050" b="0" i="1">
                        <a:latin typeface="Cambria Math" panose="02040503050406030204" pitchFamily="18" charset="0"/>
                      </a:rPr>
                      <m:t>=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𝐹𝐸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𝑒𝑠𝑡𝑎𝑏𝑒𝑙𝑒𝑐𝑖𝑚𝑒𝑛𝑡𝑜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𝐹𝑆</m:t>
                        </m:r>
                      </m:sub>
                    </m:sSub>
                    <m:r>
                      <a:rPr lang="pt-PT" sz="1050" b="0" i="1">
                        <a:latin typeface="Cambria Math" panose="02040503050406030204" pitchFamily="18" charset="0"/>
                      </a:rPr>
                      <m:t>∗</m:t>
                    </m:r>
                    <m:sSub>
                      <m:sSubPr>
                        <m:ctrlPr>
                          <a:rPr lang="pt-PT" sz="1050" b="0" i="1">
                            <a:latin typeface="Cambria Math" panose="02040503050406030204" pitchFamily="18" charset="0"/>
                          </a:rPr>
                        </m:ctrlPr>
                      </m:sSubPr>
                      <m:e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h𝑎</m:t>
                        </m:r>
                      </m:e>
                      <m:sub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𝑒𝑠𝑡𝑎𝑏𝑒𝑙𝑒𝑐𝑖𝑚𝑒𝑛𝑡𝑜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𝑑𝑎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 </m:t>
                        </m:r>
                        <m:r>
                          <a:rPr lang="pt-PT" sz="1050" b="0" i="1">
                            <a:latin typeface="Cambria Math" panose="02040503050406030204" pitchFamily="18" charset="0"/>
                          </a:rPr>
                          <m:t>𝐹𝑆</m:t>
                        </m:r>
                      </m:sub>
                    </m:sSub>
                  </m:oMath>
                </m:oMathPara>
              </a14:m>
              <a:endParaRPr lang="pt-PT" sz="1100"/>
            </a:p>
          </xdr:txBody>
        </xdr:sp>
      </mc:Choice>
      <mc:Fallback xmlns="">
        <xdr:sp macro="" textlink="">
          <xdr:nvSpPr>
            <xdr:cNvPr id="17" name="TextBox 18">
              <a:extLst>
                <a:ext uri="{FF2B5EF4-FFF2-40B4-BE49-F238E27FC236}">
                  <a16:creationId xmlns:a16="http://schemas.microsoft.com/office/drawing/2014/main" id="{FBD0D0BB-D270-4E2C-97C3-259E0BD1ECC8}"/>
                </a:ext>
              </a:extLst>
            </xdr:cNvPr>
            <xdr:cNvSpPr txBox="1"/>
          </xdr:nvSpPr>
          <xdr:spPr>
            <a:xfrm>
              <a:off x="2809875" y="1419225"/>
              <a:ext cx="5368925" cy="170175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pPr/>
              <a:r>
                <a:rPr lang="pt-PT" sz="1100" b="0" i="0">
                  <a:solidFill>
                    <a:schemeClr val="tx1"/>
                  </a:solidFill>
                  <a:effectLst/>
                  <a:latin typeface="Cambria Math" panose="02040503050406030204" pitchFamily="18" charset="0"/>
                  <a:ea typeface="+mn-ea"/>
                  <a:cs typeface="+mn-cs"/>
                </a:rPr>
                <a:t>〖𝑡𝐶𝑂〗_2 𝑒</a:t>
              </a:r>
              <a:r>
                <a:rPr lang="pt-PT" sz="1050" b="0" i="0">
                  <a:latin typeface="Cambria Math" panose="02040503050406030204" pitchFamily="18" charset="0"/>
                </a:rPr>
                <a:t>=〖𝐹𝐸〗_(𝑒𝑠𝑡𝑎𝑏𝑒𝑙𝑒𝑐𝑖𝑚𝑒𝑛𝑡𝑜 𝐹𝑆)∗〖ℎ𝑎〗_(𝑒𝑠𝑡𝑎𝑏𝑒𝑙𝑒𝑐𝑖𝑚𝑒𝑛𝑡𝑜 𝑑𝑎 𝐹𝑆)</a:t>
              </a:r>
              <a:endParaRPr lang="pt-PT" sz="1100"/>
            </a:p>
          </xdr:txBody>
        </xdr:sp>
      </mc:Fallback>
    </mc:AlternateContent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419101</xdr:rowOff>
    </xdr:from>
    <xdr:to>
      <xdr:col>1</xdr:col>
      <xdr:colOff>0</xdr:colOff>
      <xdr:row>2</xdr:row>
      <xdr:rowOff>76201</xdr:rowOff>
    </xdr:to>
    <xdr:pic>
      <xdr:nvPicPr>
        <xdr:cNvPr id="5" name="Imagem 4" descr="Logo_assinatura_email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57150" y="419101"/>
          <a:ext cx="523875" cy="2667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33227</xdr:colOff>
      <xdr:row>1</xdr:row>
      <xdr:rowOff>222</xdr:rowOff>
    </xdr:from>
    <xdr:to>
      <xdr:col>1</xdr:col>
      <xdr:colOff>676275</xdr:colOff>
      <xdr:row>2</xdr:row>
      <xdr:rowOff>66676</xdr:rowOff>
    </xdr:to>
    <xdr:pic>
      <xdr:nvPicPr>
        <xdr:cNvPr id="8" name="Imagem 7" descr="Logo_assinatura_email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271352" y="257397"/>
          <a:ext cx="643048" cy="25695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56029</xdr:colOff>
      <xdr:row>0</xdr:row>
      <xdr:rowOff>281269</xdr:rowOff>
    </xdr:from>
    <xdr:to>
      <xdr:col>0</xdr:col>
      <xdr:colOff>685800</xdr:colOff>
      <xdr:row>2</xdr:row>
      <xdr:rowOff>104776</xdr:rowOff>
    </xdr:to>
    <xdr:pic>
      <xdr:nvPicPr>
        <xdr:cNvPr id="2" name="Imagem 1" descr="Logo_assinatura_email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56029" y="281269"/>
          <a:ext cx="629771" cy="271182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54428</xdr:colOff>
      <xdr:row>1</xdr:row>
      <xdr:rowOff>27214</xdr:rowOff>
    </xdr:from>
    <xdr:to>
      <xdr:col>0</xdr:col>
      <xdr:colOff>647700</xdr:colOff>
      <xdr:row>1</xdr:row>
      <xdr:rowOff>276225</xdr:rowOff>
    </xdr:to>
    <xdr:pic>
      <xdr:nvPicPr>
        <xdr:cNvPr id="2" name="Imagem 1" descr="Logo_assinatura_email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54428" y="312964"/>
          <a:ext cx="593272" cy="249011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78442</xdr:colOff>
      <xdr:row>0</xdr:row>
      <xdr:rowOff>324972</xdr:rowOff>
    </xdr:from>
    <xdr:to>
      <xdr:col>0</xdr:col>
      <xdr:colOff>692151</xdr:colOff>
      <xdr:row>1</xdr:row>
      <xdr:rowOff>209551</xdr:rowOff>
    </xdr:to>
    <xdr:pic>
      <xdr:nvPicPr>
        <xdr:cNvPr id="2" name="Imagem 1" descr="Logo_assinatura_email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78442" y="324972"/>
          <a:ext cx="616884" cy="23700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409575</xdr:rowOff>
    </xdr:from>
    <xdr:to>
      <xdr:col>0</xdr:col>
      <xdr:colOff>744134</xdr:colOff>
      <xdr:row>2</xdr:row>
      <xdr:rowOff>7367</xdr:rowOff>
    </xdr:to>
    <xdr:pic>
      <xdr:nvPicPr>
        <xdr:cNvPr id="2" name="Imagem 1" descr="Logo_assinatura_email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38100" y="409575"/>
          <a:ext cx="706034" cy="337567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496093</xdr:colOff>
      <xdr:row>4</xdr:row>
      <xdr:rowOff>157692</xdr:rowOff>
    </xdr:from>
    <xdr:to>
      <xdr:col>18</xdr:col>
      <xdr:colOff>119297</xdr:colOff>
      <xdr:row>24</xdr:row>
      <xdr:rowOff>73635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581510" y="528109"/>
          <a:ext cx="4491537" cy="3620108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5</xdr:row>
      <xdr:rowOff>171986</xdr:rowOff>
    </xdr:from>
    <xdr:to>
      <xdr:col>10</xdr:col>
      <xdr:colOff>530056</xdr:colOff>
      <xdr:row>21</xdr:row>
      <xdr:rowOff>124654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27611"/>
          <a:ext cx="6615473" cy="2916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9</xdr:col>
      <xdr:colOff>63994</xdr:colOff>
      <xdr:row>45</xdr:row>
      <xdr:rowOff>137874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5185833"/>
          <a:ext cx="5540869" cy="2916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9</xdr:col>
      <xdr:colOff>1</xdr:colOff>
      <xdr:row>30</xdr:row>
      <xdr:rowOff>0</xdr:rowOff>
    </xdr:from>
    <xdr:to>
      <xdr:col>17</xdr:col>
      <xdr:colOff>357547</xdr:colOff>
      <xdr:row>49</xdr:row>
      <xdr:rowOff>102640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C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476876" y="5185833"/>
          <a:ext cx="5225879" cy="36216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55</xdr:row>
      <xdr:rowOff>0</xdr:rowOff>
    </xdr:from>
    <xdr:to>
      <xdr:col>8</xdr:col>
      <xdr:colOff>560439</xdr:colOff>
      <xdr:row>70</xdr:row>
      <xdr:rowOff>101874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0" y="9816042"/>
          <a:ext cx="5428772" cy="288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9</xdr:col>
      <xdr:colOff>0</xdr:colOff>
      <xdr:row>55</xdr:row>
      <xdr:rowOff>0</xdr:rowOff>
    </xdr:from>
    <xdr:to>
      <xdr:col>17</xdr:col>
      <xdr:colOff>525953</xdr:colOff>
      <xdr:row>74</xdr:row>
      <xdr:rowOff>81041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5476875" y="9816042"/>
          <a:ext cx="5394286" cy="360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8</xdr:col>
      <xdr:colOff>219667</xdr:colOff>
      <xdr:row>98</xdr:row>
      <xdr:rowOff>81043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0" y="14261042"/>
          <a:ext cx="5088000" cy="360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0</xdr:colOff>
      <xdr:row>104</xdr:row>
      <xdr:rowOff>0</xdr:rowOff>
    </xdr:from>
    <xdr:to>
      <xdr:col>13</xdr:col>
      <xdr:colOff>349604</xdr:colOff>
      <xdr:row>123</xdr:row>
      <xdr:rowOff>81043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C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18891250"/>
          <a:ext cx="8260646" cy="3600000"/>
        </a:xfrm>
        <a:prstGeom prst="rect">
          <a:avLst/>
        </a:prstGeom>
        <a:ln>
          <a:prstDash val="solid"/>
        </a:ln>
      </xdr:spPr>
    </xdr:pic>
    <xdr:clientData/>
  </xdr:twoCellAnchor>
  <xdr:twoCellAnchor editAs="oneCell">
    <xdr:from>
      <xdr:col>0</xdr:col>
      <xdr:colOff>36990</xdr:colOff>
      <xdr:row>1</xdr:row>
      <xdr:rowOff>1</xdr:rowOff>
    </xdr:from>
    <xdr:to>
      <xdr:col>1</xdr:col>
      <xdr:colOff>101724</xdr:colOff>
      <xdr:row>1</xdr:row>
      <xdr:rowOff>249685</xdr:rowOff>
    </xdr:to>
    <xdr:pic>
      <xdr:nvPicPr>
        <xdr:cNvPr id="13" name="Imagem 12" descr="Logo_assinatura_email">
          <a:extLst>
            <a:ext uri="{FF2B5EF4-FFF2-40B4-BE49-F238E27FC236}">
              <a16:creationId xmlns:a16="http://schemas.microsoft.com/office/drawing/2014/main" id="{00000000-0008-0000-0C00-00000D000000}"/>
            </a:ext>
          </a:extLst>
        </xdr:cNvPr>
        <xdr:cNvPicPr/>
      </xdr:nvPicPr>
      <xdr:blipFill rotWithShape="1">
        <a:blip xmlns:r="http://schemas.openxmlformats.org/officeDocument/2006/relationships" r:embed="rId9"/>
        <a:srcRect t="17544"/>
        <a:stretch>
          <a:fillRect/>
        </a:stretch>
      </xdr:blipFill>
      <xdr:spPr bwMode="auto">
        <a:xfrm>
          <a:off x="36990" y="416142"/>
          <a:ext cx="647331" cy="249684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absoluteAnchor>
    <xdr:pos x="6494843" y="1030042"/>
    <xdr:ext cx="1710376" cy="609340"/>
    <xdr:pic>
      <xdr:nvPicPr>
        <xdr:cNvPr id="2" name="Picture 49" hidden="1">
          <a:extLst>
            <a:ext uri="{FF2B5EF4-FFF2-40B4-BE49-F238E27FC236}">
              <a16:creationId xmlns:a16="http://schemas.microsoft.com/office/drawing/2014/main" id="{A74E1504-C482-4186-B46F-AA6F65909BD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324" t="16269" r="-1608" b="20829"/>
        <a:stretch/>
      </xdr:blipFill>
      <xdr:spPr>
        <a:xfrm>
          <a:off x="6494843" y="1030042"/>
          <a:ext cx="1710376" cy="609340"/>
        </a:xfrm>
        <a:prstGeom prst="rect">
          <a:avLst/>
        </a:prstGeom>
      </xdr:spPr>
    </xdr:pic>
    <xdr:clientData/>
  </xdr:absoluteAnchor>
  <xdr:oneCellAnchor>
    <xdr:from>
      <xdr:col>1</xdr:col>
      <xdr:colOff>0</xdr:colOff>
      <xdr:row>2</xdr:row>
      <xdr:rowOff>168590</xdr:rowOff>
    </xdr:from>
    <xdr:ext cx="558081" cy="599726"/>
    <xdr:pic macro="[0]!Ef_Aumt_Home">
      <xdr:nvPicPr>
        <xdr:cNvPr id="3" name="Graphic 4" descr="Hamburger Menu Icon with solid fill" hidden="1">
          <a:extLst>
            <a:ext uri="{FF2B5EF4-FFF2-40B4-BE49-F238E27FC236}">
              <a16:creationId xmlns:a16="http://schemas.microsoft.com/office/drawing/2014/main" id="{2E94AA91-9096-474A-A59B-F7DD25795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3"/>
            </a:ext>
          </a:extLst>
        </a:blip>
        <a:stretch>
          <a:fillRect/>
        </a:stretch>
      </xdr:blipFill>
      <xdr:spPr>
        <a:xfrm>
          <a:off x="1219200" y="663890"/>
          <a:ext cx="558081" cy="599726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0</xdr:row>
      <xdr:rowOff>0</xdr:rowOff>
    </xdr:from>
    <xdr:ext cx="714873" cy="573857"/>
    <xdr:pic>
      <xdr:nvPicPr>
        <xdr:cNvPr id="4" name="logoP" hidden="1">
          <a:extLst>
            <a:ext uri="{FF2B5EF4-FFF2-40B4-BE49-F238E27FC236}">
              <a16:creationId xmlns:a16="http://schemas.microsoft.com/office/drawing/2014/main" id="{B1930114-E4E7-4553-B23F-B9A2F3ED508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74" t="9273" r="66278" b="9206"/>
        <a:stretch/>
      </xdr:blipFill>
      <xdr:spPr>
        <a:xfrm>
          <a:off x="1219200" y="0"/>
          <a:ext cx="714873" cy="573857"/>
        </a:xfrm>
        <a:prstGeom prst="rect">
          <a:avLst/>
        </a:prstGeom>
      </xdr:spPr>
    </xdr:pic>
    <xdr:clientData/>
  </xdr:oneCellAnchor>
  <xdr:twoCellAnchor>
    <xdr:from>
      <xdr:col>1</xdr:col>
      <xdr:colOff>0</xdr:colOff>
      <xdr:row>5</xdr:row>
      <xdr:rowOff>7323</xdr:rowOff>
    </xdr:from>
    <xdr:to>
      <xdr:col>1</xdr:col>
      <xdr:colOff>0</xdr:colOff>
      <xdr:row>6</xdr:row>
      <xdr:rowOff>97958</xdr:rowOff>
    </xdr:to>
    <xdr:sp macro="[0]!Home" textlink="">
      <xdr:nvSpPr>
        <xdr:cNvPr id="5" name="ind">
          <a:extLst>
            <a:ext uri="{FF2B5EF4-FFF2-40B4-BE49-F238E27FC236}">
              <a16:creationId xmlns:a16="http://schemas.microsoft.com/office/drawing/2014/main" id="{E912CDC6-A693-47D3-9139-F7DCB06C0124}"/>
            </a:ext>
          </a:extLst>
        </xdr:cNvPr>
        <xdr:cNvSpPr/>
      </xdr:nvSpPr>
      <xdr:spPr>
        <a:xfrm>
          <a:off x="1219200" y="1074123"/>
          <a:ext cx="0" cy="843110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ÍNDICE</a:t>
          </a:r>
        </a:p>
      </xdr:txBody>
    </xdr:sp>
    <xdr:clientData/>
  </xdr:twoCellAnchor>
  <xdr:twoCellAnchor>
    <xdr:from>
      <xdr:col>1</xdr:col>
      <xdr:colOff>0</xdr:colOff>
      <xdr:row>7</xdr:row>
      <xdr:rowOff>2646</xdr:rowOff>
    </xdr:from>
    <xdr:to>
      <xdr:col>1</xdr:col>
      <xdr:colOff>0</xdr:colOff>
      <xdr:row>8</xdr:row>
      <xdr:rowOff>0</xdr:rowOff>
    </xdr:to>
    <xdr:sp macro="[0]!Home" textlink="">
      <xdr:nvSpPr>
        <xdr:cNvPr id="6" name="introd">
          <a:extLst>
            <a:ext uri="{FF2B5EF4-FFF2-40B4-BE49-F238E27FC236}">
              <a16:creationId xmlns:a16="http://schemas.microsoft.com/office/drawing/2014/main" id="{E8EE72B0-6B17-4E94-9A58-258193FA6078}"/>
            </a:ext>
          </a:extLst>
        </xdr:cNvPr>
        <xdr:cNvSpPr/>
      </xdr:nvSpPr>
      <xdr:spPr>
        <a:xfrm>
          <a:off x="1219200" y="4326996"/>
          <a:ext cx="0" cy="2902479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  <a:effectLst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INTRODUÇÃO</a:t>
          </a:r>
        </a:p>
      </xdr:txBody>
    </xdr:sp>
    <xdr:clientData/>
  </xdr:twoCellAnchor>
  <xdr:twoCellAnchor>
    <xdr:from>
      <xdr:col>1</xdr:col>
      <xdr:colOff>0</xdr:colOff>
      <xdr:row>10</xdr:row>
      <xdr:rowOff>6675</xdr:rowOff>
    </xdr:from>
    <xdr:to>
      <xdr:col>1</xdr:col>
      <xdr:colOff>0</xdr:colOff>
      <xdr:row>11</xdr:row>
      <xdr:rowOff>97310</xdr:rowOff>
    </xdr:to>
    <xdr:sp macro="[0]!Home" textlink="">
      <xdr:nvSpPr>
        <xdr:cNvPr id="7" name="cen1">
          <a:extLst>
            <a:ext uri="{FF2B5EF4-FFF2-40B4-BE49-F238E27FC236}">
              <a16:creationId xmlns:a16="http://schemas.microsoft.com/office/drawing/2014/main" id="{A4D78F17-D5F1-4023-A8AD-F5E398205E72}"/>
            </a:ext>
          </a:extLst>
        </xdr:cNvPr>
        <xdr:cNvSpPr/>
      </xdr:nvSpPr>
      <xdr:spPr>
        <a:xfrm>
          <a:off x="1219200" y="7236150"/>
          <a:ext cx="0" cy="2519510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CENÁRIO 1</a:t>
          </a:r>
        </a:p>
      </xdr:txBody>
    </xdr:sp>
    <xdr:clientData/>
  </xdr:twoCellAnchor>
  <xdr:twoCellAnchor>
    <xdr:from>
      <xdr:col>1</xdr:col>
      <xdr:colOff>0</xdr:colOff>
      <xdr:row>12</xdr:row>
      <xdr:rowOff>11354</xdr:rowOff>
    </xdr:from>
    <xdr:to>
      <xdr:col>1</xdr:col>
      <xdr:colOff>0</xdr:colOff>
      <xdr:row>13</xdr:row>
      <xdr:rowOff>100074</xdr:rowOff>
    </xdr:to>
    <xdr:sp macro="[0]!Home" textlink="">
      <xdr:nvSpPr>
        <xdr:cNvPr id="8" name="cen2">
          <a:extLst>
            <a:ext uri="{FF2B5EF4-FFF2-40B4-BE49-F238E27FC236}">
              <a16:creationId xmlns:a16="http://schemas.microsoft.com/office/drawing/2014/main" id="{AA1F5777-A616-464F-B00D-C834B3F97B63}"/>
            </a:ext>
          </a:extLst>
        </xdr:cNvPr>
        <xdr:cNvSpPr/>
      </xdr:nvSpPr>
      <xdr:spPr>
        <a:xfrm>
          <a:off x="1219200" y="11822354"/>
          <a:ext cx="0" cy="2117545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CENÁRIO 2</a:t>
          </a:r>
        </a:p>
      </xdr:txBody>
    </xdr:sp>
    <xdr:clientData/>
  </xdr:twoCellAnchor>
  <xdr:twoCellAnchor>
    <xdr:from>
      <xdr:col>1</xdr:col>
      <xdr:colOff>0</xdr:colOff>
      <xdr:row>14</xdr:row>
      <xdr:rowOff>7499</xdr:rowOff>
    </xdr:from>
    <xdr:to>
      <xdr:col>1</xdr:col>
      <xdr:colOff>0</xdr:colOff>
      <xdr:row>15</xdr:row>
      <xdr:rowOff>98133</xdr:rowOff>
    </xdr:to>
    <xdr:sp macro="[0]!Home" textlink="">
      <xdr:nvSpPr>
        <xdr:cNvPr id="9" name="cen3">
          <a:extLst>
            <a:ext uri="{FF2B5EF4-FFF2-40B4-BE49-F238E27FC236}">
              <a16:creationId xmlns:a16="http://schemas.microsoft.com/office/drawing/2014/main" id="{2B5C0E1C-A5FB-4857-873A-15F3CEC49B82}"/>
            </a:ext>
          </a:extLst>
        </xdr:cNvPr>
        <xdr:cNvSpPr/>
      </xdr:nvSpPr>
      <xdr:spPr>
        <a:xfrm>
          <a:off x="1219200" y="15437999"/>
          <a:ext cx="0" cy="1252684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CENÁRIO 3</a:t>
          </a:r>
        </a:p>
      </xdr:txBody>
    </xdr:sp>
    <xdr:clientData/>
  </xdr:twoCellAnchor>
  <xdr:twoCellAnchor>
    <xdr:from>
      <xdr:col>1</xdr:col>
      <xdr:colOff>0</xdr:colOff>
      <xdr:row>16</xdr:row>
      <xdr:rowOff>7911</xdr:rowOff>
    </xdr:from>
    <xdr:to>
      <xdr:col>1</xdr:col>
      <xdr:colOff>0</xdr:colOff>
      <xdr:row>17</xdr:row>
      <xdr:rowOff>97664</xdr:rowOff>
    </xdr:to>
    <xdr:sp macro="[0]!Home" textlink="">
      <xdr:nvSpPr>
        <xdr:cNvPr id="10" name="disc">
          <a:extLst>
            <a:ext uri="{FF2B5EF4-FFF2-40B4-BE49-F238E27FC236}">
              <a16:creationId xmlns:a16="http://schemas.microsoft.com/office/drawing/2014/main" id="{8CBC492A-C8B6-4A2C-BF04-B0910887F9AE}"/>
            </a:ext>
          </a:extLst>
        </xdr:cNvPr>
        <xdr:cNvSpPr/>
      </xdr:nvSpPr>
      <xdr:spPr>
        <a:xfrm>
          <a:off x="1219200" y="17724411"/>
          <a:ext cx="0" cy="1785203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DISCUSSÃO E CONCLUSÕES</a:t>
          </a:r>
        </a:p>
      </xdr:txBody>
    </xdr:sp>
    <xdr:clientData/>
  </xdr:twoCellAnchor>
  <xdr:twoCellAnchor>
    <xdr:from>
      <xdr:col>1</xdr:col>
      <xdr:colOff>0</xdr:colOff>
      <xdr:row>18</xdr:row>
      <xdr:rowOff>6853</xdr:rowOff>
    </xdr:from>
    <xdr:to>
      <xdr:col>1</xdr:col>
      <xdr:colOff>0</xdr:colOff>
      <xdr:row>19</xdr:row>
      <xdr:rowOff>0</xdr:rowOff>
    </xdr:to>
    <xdr:sp macro="[0]!Home" textlink="">
      <xdr:nvSpPr>
        <xdr:cNvPr id="11" name="Ref">
          <a:extLst>
            <a:ext uri="{FF2B5EF4-FFF2-40B4-BE49-F238E27FC236}">
              <a16:creationId xmlns:a16="http://schemas.microsoft.com/office/drawing/2014/main" id="{BC1D630C-7B99-4A34-9E5B-D3D887B606A2}"/>
            </a:ext>
          </a:extLst>
        </xdr:cNvPr>
        <xdr:cNvSpPr/>
      </xdr:nvSpPr>
      <xdr:spPr>
        <a:xfrm>
          <a:off x="1219200" y="20733253"/>
          <a:ext cx="0" cy="1259972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REFERÊNCIAS</a:t>
          </a:r>
        </a:p>
      </xdr:txBody>
    </xdr:sp>
    <xdr:clientData/>
  </xdr:twoCellAnchor>
  <xdr:twoCellAnchor>
    <xdr:from>
      <xdr:col>1</xdr:col>
      <xdr:colOff>0</xdr:colOff>
      <xdr:row>19</xdr:row>
      <xdr:rowOff>0</xdr:rowOff>
    </xdr:from>
    <xdr:to>
      <xdr:col>1</xdr:col>
      <xdr:colOff>0</xdr:colOff>
      <xdr:row>19</xdr:row>
      <xdr:rowOff>0</xdr:rowOff>
    </xdr:to>
    <xdr:sp macro="[0]!Home" textlink="">
      <xdr:nvSpPr>
        <xdr:cNvPr id="12" name="anex">
          <a:extLst>
            <a:ext uri="{FF2B5EF4-FFF2-40B4-BE49-F238E27FC236}">
              <a16:creationId xmlns:a16="http://schemas.microsoft.com/office/drawing/2014/main" id="{912585B7-02DC-490C-89AB-A12CE0605F43}"/>
            </a:ext>
          </a:extLst>
        </xdr:cNvPr>
        <xdr:cNvSpPr/>
      </xdr:nvSpPr>
      <xdr:spPr>
        <a:xfrm>
          <a:off x="1219200" y="21993225"/>
          <a:ext cx="0" cy="0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ANEXOS</a:t>
          </a:r>
        </a:p>
      </xdr:txBody>
    </xdr:sp>
    <xdr:clientData/>
  </xdr:twoCellAnchor>
  <xdr:twoCellAnchor>
    <xdr:from>
      <xdr:col>1</xdr:col>
      <xdr:colOff>0</xdr:colOff>
      <xdr:row>3</xdr:row>
      <xdr:rowOff>5331</xdr:rowOff>
    </xdr:from>
    <xdr:to>
      <xdr:col>1</xdr:col>
      <xdr:colOff>0</xdr:colOff>
      <xdr:row>4</xdr:row>
      <xdr:rowOff>95964</xdr:rowOff>
    </xdr:to>
    <xdr:sp macro="[0]!Home" textlink="">
      <xdr:nvSpPr>
        <xdr:cNvPr id="13" name="iden">
          <a:extLst>
            <a:ext uri="{FF2B5EF4-FFF2-40B4-BE49-F238E27FC236}">
              <a16:creationId xmlns:a16="http://schemas.microsoft.com/office/drawing/2014/main" id="{BDD643E9-3D2C-4CEE-89AA-CA3CB0CB859C}"/>
            </a:ext>
          </a:extLst>
        </xdr:cNvPr>
        <xdr:cNvSpPr/>
      </xdr:nvSpPr>
      <xdr:spPr>
        <a:xfrm>
          <a:off x="1219200" y="691131"/>
          <a:ext cx="0" cy="281133"/>
        </a:xfrm>
        <a:prstGeom prst="rect">
          <a:avLst/>
        </a:prstGeom>
        <a:solidFill>
          <a:schemeClr val="bg1">
            <a:lumMod val="5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rtlCol="0" anchor="ctr"/>
        <a:lstStyle/>
        <a:p>
          <a:pPr algn="l"/>
          <a:r>
            <a:rPr lang="en-US" sz="1100" b="0">
              <a:solidFill>
                <a:sysClr val="windowText" lastClr="000000"/>
              </a:solidFill>
              <a:latin typeface="Century Gothic" panose="020B0502020202020204" pitchFamily="34" charset="0"/>
            </a:rPr>
            <a:t>IDENTIFICAÇÃO</a:t>
          </a:r>
        </a:p>
      </xdr:txBody>
    </xdr:sp>
    <xdr:clientData/>
  </xdr:twoCellAnchor>
  <xdr:twoCellAnchor>
    <xdr:from>
      <xdr:col>0</xdr:col>
      <xdr:colOff>72067</xdr:colOff>
      <xdr:row>8</xdr:row>
      <xdr:rowOff>0</xdr:rowOff>
    </xdr:from>
    <xdr:to>
      <xdr:col>0</xdr:col>
      <xdr:colOff>1152067</xdr:colOff>
      <xdr:row>9</xdr:row>
      <xdr:rowOff>59496</xdr:rowOff>
    </xdr:to>
    <xdr:sp macro="" textlink="">
      <xdr:nvSpPr>
        <xdr:cNvPr id="14" name="CaixaDeTexto 5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239C093-2BA2-4DDE-8953-52580A81CEC6}"/>
            </a:ext>
          </a:extLst>
        </xdr:cNvPr>
        <xdr:cNvSpPr txBox="1">
          <a:spLocks/>
        </xdr:cNvSpPr>
      </xdr:nvSpPr>
      <xdr:spPr>
        <a:xfrm>
          <a:off x="72067" y="7229475"/>
          <a:ext cx="1080000" cy="0"/>
        </a:xfrm>
        <a:prstGeom prst="rect">
          <a:avLst/>
        </a:prstGeom>
        <a:solidFill>
          <a:schemeClr val="accent3">
            <a:lumMod val="75000"/>
          </a:schemeClr>
        </a:solidFill>
        <a:ln w="9525" cmpd="sng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050"/>
            <a:t>Ativos</a:t>
          </a:r>
        </a:p>
      </xdr:txBody>
    </xdr:sp>
    <xdr:clientData/>
  </xdr:twoCellAnchor>
  <xdr:twoCellAnchor>
    <xdr:from>
      <xdr:col>0</xdr:col>
      <xdr:colOff>71911</xdr:colOff>
      <xdr:row>19</xdr:row>
      <xdr:rowOff>0</xdr:rowOff>
    </xdr:from>
    <xdr:to>
      <xdr:col>0</xdr:col>
      <xdr:colOff>1152819</xdr:colOff>
      <xdr:row>19</xdr:row>
      <xdr:rowOff>0</xdr:rowOff>
    </xdr:to>
    <xdr:sp macro="" textlink="">
      <xdr:nvSpPr>
        <xdr:cNvPr id="15" name="CaixaDeTexto 28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45B4782E-1592-4735-8362-D3E7B1BDE12F}"/>
            </a:ext>
          </a:extLst>
        </xdr:cNvPr>
        <xdr:cNvSpPr txBox="1"/>
      </xdr:nvSpPr>
      <xdr:spPr>
        <a:xfrm>
          <a:off x="71911" y="21993225"/>
          <a:ext cx="1080908" cy="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pt-PT" sz="1000">
              <a:effectLst/>
            </a:rPr>
            <a:t>                .</a:t>
          </a:r>
        </a:p>
      </xdr:txBody>
    </xdr:sp>
    <xdr:clientData/>
  </xdr:twoCellAnchor>
  <xdr:twoCellAnchor>
    <xdr:from>
      <xdr:col>0</xdr:col>
      <xdr:colOff>71911</xdr:colOff>
      <xdr:row>19</xdr:row>
      <xdr:rowOff>0</xdr:rowOff>
    </xdr:from>
    <xdr:to>
      <xdr:col>0</xdr:col>
      <xdr:colOff>1152819</xdr:colOff>
      <xdr:row>19</xdr:row>
      <xdr:rowOff>0</xdr:rowOff>
    </xdr:to>
    <xdr:sp macro="" textlink="">
      <xdr:nvSpPr>
        <xdr:cNvPr id="16" name="CaixaDeTexto 29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2224AB0C-B5B5-46F6-9855-4D040CFE1ABF}"/>
            </a:ext>
          </a:extLst>
        </xdr:cNvPr>
        <xdr:cNvSpPr txBox="1"/>
      </xdr:nvSpPr>
      <xdr:spPr>
        <a:xfrm>
          <a:off x="71911" y="21993225"/>
          <a:ext cx="1080908" cy="0"/>
        </a:xfrm>
        <a:prstGeom prst="rect">
          <a:avLst/>
        </a:prstGeom>
        <a:solidFill>
          <a:sysClr val="window" lastClr="FFFFFF"/>
        </a:solidFill>
        <a:ln w="9525" cmpd="sng">
          <a:noFill/>
        </a:ln>
        <a:effectLst>
          <a:outerShdw blurRad="44450" dist="27940" dir="5400000" algn="ctr">
            <a:srgbClr val="000000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pt-PT" sz="10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  <a:endParaRPr lang="pt-PT" sz="1000">
            <a:effectLst/>
          </a:endParaRPr>
        </a:p>
      </xdr:txBody>
    </xdr:sp>
    <xdr:clientData/>
  </xdr:twoCellAnchor>
  <xdr:twoCellAnchor>
    <xdr:from>
      <xdr:col>3</xdr:col>
      <xdr:colOff>0</xdr:colOff>
      <xdr:row>0</xdr:row>
      <xdr:rowOff>114300</xdr:rowOff>
    </xdr:from>
    <xdr:to>
      <xdr:col>3</xdr:col>
      <xdr:colOff>0</xdr:colOff>
      <xdr:row>2</xdr:row>
      <xdr:rowOff>3175</xdr:rowOff>
    </xdr:to>
    <xdr:grpSp>
      <xdr:nvGrpSpPr>
        <xdr:cNvPr id="17" name="Group 34">
          <a:extLst>
            <a:ext uri="{FF2B5EF4-FFF2-40B4-BE49-F238E27FC236}">
              <a16:creationId xmlns:a16="http://schemas.microsoft.com/office/drawing/2014/main" id="{2832569C-AEA3-4FB2-8A1E-788FEC71848E}"/>
            </a:ext>
          </a:extLst>
        </xdr:cNvPr>
        <xdr:cNvGrpSpPr/>
      </xdr:nvGrpSpPr>
      <xdr:grpSpPr>
        <a:xfrm>
          <a:off x="3633107" y="114300"/>
          <a:ext cx="0" cy="378732"/>
          <a:chOff x="7854950" y="114300"/>
          <a:chExt cx="3670300" cy="406400"/>
        </a:xfrm>
      </xdr:grpSpPr>
      <xdr:sp macro="" textlink="">
        <xdr:nvSpPr>
          <xdr:cNvPr id="18" name="TextBox 3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191893D5-1367-3617-A7B5-43C5FB640D53}"/>
              </a:ext>
            </a:extLst>
          </xdr:cNvPr>
          <xdr:cNvSpPr txBox="1"/>
        </xdr:nvSpPr>
        <xdr:spPr>
          <a:xfrm>
            <a:off x="7854950" y="114300"/>
            <a:ext cx="116205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Início</a:t>
            </a:r>
          </a:p>
        </xdr:txBody>
      </xdr:sp>
      <xdr:sp macro="" textlink="">
        <xdr:nvSpPr>
          <xdr:cNvPr id="19" name="TextBox 3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96906428-BC15-96F2-59D7-DC25694C8B6E}"/>
              </a:ext>
            </a:extLst>
          </xdr:cNvPr>
          <xdr:cNvSpPr txBox="1"/>
        </xdr:nvSpPr>
        <xdr:spPr>
          <a:xfrm>
            <a:off x="9061450" y="114300"/>
            <a:ext cx="1079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Instruções</a:t>
            </a:r>
          </a:p>
        </xdr:txBody>
      </xdr:sp>
      <xdr:sp macro="" textlink="">
        <xdr:nvSpPr>
          <xdr:cNvPr id="20" name="TextBox 3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7B9B5B2F-0672-E1F9-F567-5F42A70CD0EE}"/>
              </a:ext>
            </a:extLst>
          </xdr:cNvPr>
          <xdr:cNvSpPr txBox="1"/>
        </xdr:nvSpPr>
        <xdr:spPr>
          <a:xfrm>
            <a:off x="10191750" y="114300"/>
            <a:ext cx="1333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Resultados</a:t>
            </a:r>
          </a:p>
        </xdr:txBody>
      </xdr:sp>
    </xdr:grpSp>
    <xdr:clientData/>
  </xdr:twoCellAnchor>
  <xdr:twoCellAnchor>
    <xdr:from>
      <xdr:col>3</xdr:col>
      <xdr:colOff>0</xdr:colOff>
      <xdr:row>0</xdr:row>
      <xdr:rowOff>114300</xdr:rowOff>
    </xdr:from>
    <xdr:to>
      <xdr:col>3</xdr:col>
      <xdr:colOff>0</xdr:colOff>
      <xdr:row>2</xdr:row>
      <xdr:rowOff>3175</xdr:rowOff>
    </xdr:to>
    <xdr:grpSp>
      <xdr:nvGrpSpPr>
        <xdr:cNvPr id="21" name="Group 39">
          <a:extLst>
            <a:ext uri="{FF2B5EF4-FFF2-40B4-BE49-F238E27FC236}">
              <a16:creationId xmlns:a16="http://schemas.microsoft.com/office/drawing/2014/main" id="{92AF7C2E-3C79-4358-913F-C055B0DC95A3}"/>
            </a:ext>
          </a:extLst>
        </xdr:cNvPr>
        <xdr:cNvGrpSpPr/>
      </xdr:nvGrpSpPr>
      <xdr:grpSpPr>
        <a:xfrm>
          <a:off x="3633107" y="114300"/>
          <a:ext cx="0" cy="378732"/>
          <a:chOff x="7854950" y="114300"/>
          <a:chExt cx="3670300" cy="406400"/>
        </a:xfrm>
      </xdr:grpSpPr>
      <xdr:sp macro="" textlink="">
        <xdr:nvSpPr>
          <xdr:cNvPr id="22" name="TextBox 4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EB326DD5-D4AA-80FB-48D5-5DC2D5EF0C33}"/>
              </a:ext>
            </a:extLst>
          </xdr:cNvPr>
          <xdr:cNvSpPr txBox="1"/>
        </xdr:nvSpPr>
        <xdr:spPr>
          <a:xfrm>
            <a:off x="7854950" y="114300"/>
            <a:ext cx="116205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Início</a:t>
            </a:r>
          </a:p>
        </xdr:txBody>
      </xdr:sp>
      <xdr:sp macro="" textlink="">
        <xdr:nvSpPr>
          <xdr:cNvPr id="23" name="TextBox 4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13EF425B-1C35-E185-6027-2D89A6FAB3D4}"/>
              </a:ext>
            </a:extLst>
          </xdr:cNvPr>
          <xdr:cNvSpPr txBox="1"/>
        </xdr:nvSpPr>
        <xdr:spPr>
          <a:xfrm>
            <a:off x="9061450" y="114300"/>
            <a:ext cx="1079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Instruções</a:t>
            </a:r>
          </a:p>
        </xdr:txBody>
      </xdr:sp>
      <xdr:sp macro="" textlink="">
        <xdr:nvSpPr>
          <xdr:cNvPr id="24" name="TextBox 4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983A7EE6-B156-D948-2DFD-E2318070FB21}"/>
              </a:ext>
            </a:extLst>
          </xdr:cNvPr>
          <xdr:cNvSpPr txBox="1"/>
        </xdr:nvSpPr>
        <xdr:spPr>
          <a:xfrm>
            <a:off x="10191750" y="114300"/>
            <a:ext cx="1333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Resultados</a:t>
            </a:r>
          </a:p>
        </xdr:txBody>
      </xdr:sp>
    </xdr:grpSp>
    <xdr:clientData/>
  </xdr:twoCellAnchor>
  <xdr:twoCellAnchor>
    <xdr:from>
      <xdr:col>3</xdr:col>
      <xdr:colOff>0</xdr:colOff>
      <xdr:row>0</xdr:row>
      <xdr:rowOff>114300</xdr:rowOff>
    </xdr:from>
    <xdr:to>
      <xdr:col>3</xdr:col>
      <xdr:colOff>0</xdr:colOff>
      <xdr:row>2</xdr:row>
      <xdr:rowOff>3175</xdr:rowOff>
    </xdr:to>
    <xdr:grpSp>
      <xdr:nvGrpSpPr>
        <xdr:cNvPr id="25" name="Group 44">
          <a:extLst>
            <a:ext uri="{FF2B5EF4-FFF2-40B4-BE49-F238E27FC236}">
              <a16:creationId xmlns:a16="http://schemas.microsoft.com/office/drawing/2014/main" id="{8CE88FD8-C581-44B5-88B9-E1DFBA872124}"/>
            </a:ext>
          </a:extLst>
        </xdr:cNvPr>
        <xdr:cNvGrpSpPr/>
      </xdr:nvGrpSpPr>
      <xdr:grpSpPr>
        <a:xfrm>
          <a:off x="3633107" y="114300"/>
          <a:ext cx="0" cy="378732"/>
          <a:chOff x="7854950" y="114300"/>
          <a:chExt cx="3670300" cy="406400"/>
        </a:xfrm>
      </xdr:grpSpPr>
      <xdr:sp macro="" textlink="">
        <xdr:nvSpPr>
          <xdr:cNvPr id="26" name="TextBox 45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345384D7-7D3B-9331-0A5A-EC215760D410}"/>
              </a:ext>
            </a:extLst>
          </xdr:cNvPr>
          <xdr:cNvSpPr txBox="1"/>
        </xdr:nvSpPr>
        <xdr:spPr>
          <a:xfrm>
            <a:off x="7854950" y="114300"/>
            <a:ext cx="116205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Início</a:t>
            </a:r>
          </a:p>
        </xdr:txBody>
      </xdr:sp>
      <xdr:sp macro="" textlink="">
        <xdr:nvSpPr>
          <xdr:cNvPr id="27" name="TextBox 46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A2893408-4A47-F9C3-479B-C0F08A532B9A}"/>
              </a:ext>
            </a:extLst>
          </xdr:cNvPr>
          <xdr:cNvSpPr txBox="1"/>
        </xdr:nvSpPr>
        <xdr:spPr>
          <a:xfrm>
            <a:off x="9061450" y="114300"/>
            <a:ext cx="1079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Instruções</a:t>
            </a:r>
          </a:p>
        </xdr:txBody>
      </xdr:sp>
      <xdr:sp macro="" textlink="">
        <xdr:nvSpPr>
          <xdr:cNvPr id="28" name="TextBox 47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C2C14C72-30D1-65E5-734E-A6B9DF982421}"/>
              </a:ext>
            </a:extLst>
          </xdr:cNvPr>
          <xdr:cNvSpPr txBox="1"/>
        </xdr:nvSpPr>
        <xdr:spPr>
          <a:xfrm>
            <a:off x="10191750" y="114300"/>
            <a:ext cx="1333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Resultados</a:t>
            </a:r>
          </a:p>
        </xdr:txBody>
      </xdr:sp>
    </xdr:grpSp>
    <xdr:clientData/>
  </xdr:twoCellAnchor>
  <xdr:twoCellAnchor editAs="oneCell">
    <xdr:from>
      <xdr:col>6</xdr:col>
      <xdr:colOff>237260</xdr:colOff>
      <xdr:row>0</xdr:row>
      <xdr:rowOff>0</xdr:rowOff>
    </xdr:from>
    <xdr:to>
      <xdr:col>6</xdr:col>
      <xdr:colOff>910359</xdr:colOff>
      <xdr:row>1</xdr:row>
      <xdr:rowOff>577</xdr:rowOff>
    </xdr:to>
    <xdr:pic>
      <xdr:nvPicPr>
        <xdr:cNvPr id="29" name="Imagem 1" descr="Logo_assinatura_email">
          <a:extLst>
            <a:ext uri="{FF2B5EF4-FFF2-40B4-BE49-F238E27FC236}">
              <a16:creationId xmlns:a16="http://schemas.microsoft.com/office/drawing/2014/main" id="{3B640829-E61F-4DF7-B630-D10694F05116}"/>
            </a:ext>
          </a:extLst>
        </xdr:cNvPr>
        <xdr:cNvPicPr/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7544"/>
        <a:stretch/>
      </xdr:blipFill>
      <xdr:spPr bwMode="auto">
        <a:xfrm>
          <a:off x="9428885" y="0"/>
          <a:ext cx="673099" cy="314902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7</xdr:col>
      <xdr:colOff>1047750</xdr:colOff>
      <xdr:row>0</xdr:row>
      <xdr:rowOff>114300</xdr:rowOff>
    </xdr:from>
    <xdr:to>
      <xdr:col>9</xdr:col>
      <xdr:colOff>1060450</xdr:colOff>
      <xdr:row>2</xdr:row>
      <xdr:rowOff>3175</xdr:rowOff>
    </xdr:to>
    <xdr:grpSp>
      <xdr:nvGrpSpPr>
        <xdr:cNvPr id="30" name="Group 49">
          <a:extLst>
            <a:ext uri="{FF2B5EF4-FFF2-40B4-BE49-F238E27FC236}">
              <a16:creationId xmlns:a16="http://schemas.microsoft.com/office/drawing/2014/main" id="{C373EFF1-518A-492E-A5B3-9414FDA64D29}"/>
            </a:ext>
          </a:extLst>
        </xdr:cNvPr>
        <xdr:cNvGrpSpPr/>
      </xdr:nvGrpSpPr>
      <xdr:grpSpPr>
        <a:xfrm>
          <a:off x="12341679" y="114300"/>
          <a:ext cx="4230914" cy="378732"/>
          <a:chOff x="7854950" y="114300"/>
          <a:chExt cx="3670300" cy="406400"/>
        </a:xfrm>
      </xdr:grpSpPr>
      <xdr:sp macro="" textlink="">
        <xdr:nvSpPr>
          <xdr:cNvPr id="31" name="TextBox 50">
            <a:hlinkClick xmlns:r="http://schemas.openxmlformats.org/officeDocument/2006/relationships" r:id="rId8"/>
            <a:extLst>
              <a:ext uri="{FF2B5EF4-FFF2-40B4-BE49-F238E27FC236}">
                <a16:creationId xmlns:a16="http://schemas.microsoft.com/office/drawing/2014/main" id="{A127989A-80C8-67EB-5A0A-7EDF5EACFB45}"/>
              </a:ext>
            </a:extLst>
          </xdr:cNvPr>
          <xdr:cNvSpPr txBox="1"/>
        </xdr:nvSpPr>
        <xdr:spPr>
          <a:xfrm>
            <a:off x="7854950" y="114300"/>
            <a:ext cx="116205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Início</a:t>
            </a:r>
          </a:p>
        </xdr:txBody>
      </xdr:sp>
      <xdr:sp macro="" textlink="">
        <xdr:nvSpPr>
          <xdr:cNvPr id="32" name="TextBox 51">
            <a:hlinkClick xmlns:r="http://schemas.openxmlformats.org/officeDocument/2006/relationships" r:id="rId9"/>
            <a:extLst>
              <a:ext uri="{FF2B5EF4-FFF2-40B4-BE49-F238E27FC236}">
                <a16:creationId xmlns:a16="http://schemas.microsoft.com/office/drawing/2014/main" id="{DCF911E0-01EA-2062-6AF6-488CCF7816C7}"/>
              </a:ext>
            </a:extLst>
          </xdr:cNvPr>
          <xdr:cNvSpPr txBox="1"/>
        </xdr:nvSpPr>
        <xdr:spPr>
          <a:xfrm>
            <a:off x="9061450" y="114300"/>
            <a:ext cx="1079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Instruções</a:t>
            </a:r>
          </a:p>
        </xdr:txBody>
      </xdr:sp>
      <xdr:sp macro="" textlink="">
        <xdr:nvSpPr>
          <xdr:cNvPr id="33" name="TextBox 52">
            <a:hlinkClick xmlns:r="http://schemas.openxmlformats.org/officeDocument/2006/relationships" r:id="rId10"/>
            <a:extLst>
              <a:ext uri="{FF2B5EF4-FFF2-40B4-BE49-F238E27FC236}">
                <a16:creationId xmlns:a16="http://schemas.microsoft.com/office/drawing/2014/main" id="{B9767FE1-C402-8C91-A5DF-6DA42135DEFB}"/>
              </a:ext>
            </a:extLst>
          </xdr:cNvPr>
          <xdr:cNvSpPr txBox="1"/>
        </xdr:nvSpPr>
        <xdr:spPr>
          <a:xfrm>
            <a:off x="10191750" y="114300"/>
            <a:ext cx="1333500" cy="406400"/>
          </a:xfrm>
          <a:prstGeom prst="roundRect">
            <a:avLst/>
          </a:prstGeom>
          <a:ln/>
        </xdr:spPr>
        <xdr:style>
          <a:lnRef idx="1">
            <a:schemeClr val="accent5"/>
          </a:lnRef>
          <a:fillRef idx="3">
            <a:schemeClr val="accent5"/>
          </a:fillRef>
          <a:effectRef idx="2">
            <a:schemeClr val="accent5"/>
          </a:effectRef>
          <a:fontRef idx="minor">
            <a:schemeClr val="lt1"/>
          </a:fontRef>
        </xdr:style>
        <xdr:txBody>
          <a:bodyPr vertOverflow="clip" horzOverflow="clip" wrap="square" rtlCol="0" anchor="t"/>
          <a:lstStyle/>
          <a:p>
            <a:pPr algn="ctr"/>
            <a:r>
              <a:rPr lang="en-GB" sz="1400" b="1">
                <a:latin typeface="Times New Roman" panose="02020603050405020304" pitchFamily="18" charset="0"/>
                <a:cs typeface="Times New Roman" panose="02020603050405020304" pitchFamily="18" charset="0"/>
              </a:rPr>
              <a:t>Resultados</a:t>
            </a:r>
          </a:p>
        </xdr:txBody>
      </xdr:sp>
    </xdr:grpSp>
    <xdr:clientData/>
  </xdr:twoCellAnchor>
  <xdr:twoCellAnchor>
    <xdr:from>
      <xdr:col>26</xdr:col>
      <xdr:colOff>2428875</xdr:colOff>
      <xdr:row>17</xdr:row>
      <xdr:rowOff>1144588</xdr:rowOff>
    </xdr:from>
    <xdr:to>
      <xdr:col>31</xdr:col>
      <xdr:colOff>297873</xdr:colOff>
      <xdr:row>22</xdr:row>
      <xdr:rowOff>90054</xdr:rowOff>
    </xdr:to>
    <xdr:graphicFrame macro="">
      <xdr:nvGraphicFramePr>
        <xdr:cNvPr id="34" name="Gráfico 13">
          <a:extLst>
            <a:ext uri="{FF2B5EF4-FFF2-40B4-BE49-F238E27FC236}">
              <a16:creationId xmlns:a16="http://schemas.microsoft.com/office/drawing/2014/main" id="{B4AEBC25-3365-4254-B7E9-C9BDFEE8EE8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23812</xdr:colOff>
      <xdr:row>1</xdr:row>
      <xdr:rowOff>59530</xdr:rowOff>
    </xdr:from>
    <xdr:to>
      <xdr:col>0</xdr:col>
      <xdr:colOff>666750</xdr:colOff>
      <xdr:row>1</xdr:row>
      <xdr:rowOff>333375</xdr:rowOff>
    </xdr:to>
    <xdr:pic>
      <xdr:nvPicPr>
        <xdr:cNvPr id="5" name="Imagem 4" descr="Logo_assinatura_email">
          <a:extLst>
            <a:ext uri="{FF2B5EF4-FFF2-40B4-BE49-F238E27FC236}">
              <a16:creationId xmlns:a16="http://schemas.microsoft.com/office/drawing/2014/main" id="{00000000-0008-0000-0D00-000005000000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t="17544"/>
        <a:stretch>
          <a:fillRect/>
        </a:stretch>
      </xdr:blipFill>
      <xdr:spPr bwMode="auto">
        <a:xfrm>
          <a:off x="23812" y="345280"/>
          <a:ext cx="642938" cy="27384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8:J55" totalsRowShown="0" headerRowDxfId="16" dataDxfId="14" headerRowBorderDxfId="15" tableBorderDxfId="13" totalsRowBorderDxfId="12">
  <autoFilter ref="B8:J55" xr:uid="{00000000-0009-0000-0100-000001000000}"/>
  <tableColumns count="9">
    <tableColumn id="11" xr3:uid="{00000000-0010-0000-0000-00000B000000}" name="Fases " dataDxfId="11"/>
    <tableColumn id="1" xr3:uid="{00000000-0010-0000-0000-000001000000}" name="Fases 2" dataDxfId="10"/>
    <tableColumn id="10" xr3:uid="{00000000-0010-0000-0000-00000A000000}" name="Atividade/Materiais" dataDxfId="9"/>
    <tableColumn id="2" xr3:uid="{00000000-0010-0000-0000-000002000000}" name="Observações" dataDxfId="8"/>
    <tableColumn id="3" xr3:uid="{00000000-0010-0000-0000-000003000000}" name="Fator de emissão (FE)" dataDxfId="7"/>
    <tableColumn id="4" xr3:uid="{00000000-0010-0000-0000-000004000000}" name="Unidade" dataDxfId="6"/>
    <tableColumn id="5" xr3:uid="{00000000-0010-0000-0000-000005000000}" name="Emissões (t CO2e)" dataDxfId="5"/>
    <tableColumn id="6" xr3:uid="{00000000-0010-0000-0000-000006000000}" name="Fonte: " dataDxfId="4"/>
    <tableColumn id="13" xr3:uid="{00000000-0010-0000-0000-00000D000000}" name="Suporte ao FE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https://pdf.sciencedirectassets.com/271750/1-s2.0-S0959652620X00321/1-s2.0-S0959652620343456/main.pdf?X-Amz-Security-Token=IQoJb3JpZ2luX2VjEHUaCXVzLWVhc3QtMSJHMEUCIQD6ekZfjCkT2jtLEMC3yswbsz4zA502Jmn9l8gSiG4S2gIgIHEBWDXR1oPShZUww9Y0rkykV5yGxLtT8KuOPjkrhasq" TargetMode="External"/><Relationship Id="rId1" Type="http://schemas.openxmlformats.org/officeDocument/2006/relationships/hyperlink" Target="https://www.secil-group.com/content/dam/secilInstitucional/documentos/pt/documentos/relatorios-de-sustentabilidade/Relat%C3%B3rio_Anual_2023.pdf" TargetMode="External"/><Relationship Id="rId4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pditaly.it/en/wp-content/uploads/2016/12/Prysmian_EPD_8_Brasil_2022_v6_250522.pdf" TargetMode="External"/><Relationship Id="rId2" Type="http://schemas.openxmlformats.org/officeDocument/2006/relationships/hyperlink" Target="https://api.environdec.com/api/v1/EPDLibrary/Files/32410865-86ab-44fa-83b8-624207c4cb18/Data" TargetMode="External"/><Relationship Id="rId1" Type="http://schemas.openxmlformats.org/officeDocument/2006/relationships/hyperlink" Target="https://api.environdec.com/api/v1/EPDLibrary/Files/cd5339be-b13b-480f-8193-08d941d5f1c9/Data" TargetMode="External"/><Relationship Id="rId6" Type="http://schemas.openxmlformats.org/officeDocument/2006/relationships/drawing" Target="../drawings/drawing14.xml"/><Relationship Id="rId5" Type="http://schemas.openxmlformats.org/officeDocument/2006/relationships/hyperlink" Target="https://www.epditaly.it/en/wp-content/uploads/2016/12/EPD_XIANGHE_Anthesis_Lavola_.REV_03.01.2022_v3_update-10.07.2024.pdf" TargetMode="External"/><Relationship Id="rId4" Type="http://schemas.openxmlformats.org/officeDocument/2006/relationships/hyperlink" Target="https://www.epditaly.it/en/wp-content/uploads/2016/12/Conductors_Iproeb_Epd_03.pdf" TargetMode="External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pditaly.it/en/wp-content/uploads/2016/12/EPDITALY-0568-Taikai-Disconnect-Switch_Revision4.1.pdf" TargetMode="External"/><Relationship Id="rId13" Type="http://schemas.openxmlformats.org/officeDocument/2006/relationships/hyperlink" Target="https://www.epd-norge.no/getfile.php/1347923-1734000699/EPDer/Byggevarer/NEPD-5370-4685_ACEFLEX-ECO-CABLE-PURE-3G2-5mm--.pdf" TargetMode="External"/><Relationship Id="rId18" Type="http://schemas.openxmlformats.org/officeDocument/2006/relationships/hyperlink" Target="https://www.epditaly.it/en/wp-content/uploads/2016/12/3_-ICC-EPD-N1VC7V-K-01.pdf" TargetMode="External"/><Relationship Id="rId26" Type="http://schemas.openxmlformats.org/officeDocument/2006/relationships/hyperlink" Target="https://www.epditaly.it/en/wp-content/uploads/2016/12/5_-ICC-EPD-N1VC7V-K-X1151-03.pdf" TargetMode="External"/><Relationship Id="rId3" Type="http://schemas.openxmlformats.org/officeDocument/2006/relationships/hyperlink" Target="https://www.epditaly.it/en/wp-content/uploads/2016/12/Sieyuan-Hertz-EPD_Inductive-voltage-transformer_November-2021.pdf" TargetMode="External"/><Relationship Id="rId21" Type="http://schemas.openxmlformats.org/officeDocument/2006/relationships/hyperlink" Target="https://www.epditaly.it/en/wp-content/uploads/2016/12/4_-ICC-EPD-N1VC7V-K-02.pdf" TargetMode="External"/><Relationship Id="rId34" Type="http://schemas.openxmlformats.org/officeDocument/2006/relationships/drawing" Target="../drawings/drawing15.xml"/><Relationship Id="rId7" Type="http://schemas.openxmlformats.org/officeDocument/2006/relationships/hyperlink" Target="https://www.epditaly.it/en/wp-content/uploads/2016/12/EPD-FLL-200-agg.ta-27.11.23.pdf" TargetMode="External"/><Relationship Id="rId12" Type="http://schemas.openxmlformats.org/officeDocument/2006/relationships/hyperlink" Target="https://www.epd-norge.no/getfile.php/1347950-1734000095/EPDer/Byggevarer/NEPD-5373-4680_ACEFLEX-ECO-CABLE-PURE-5G2-5mm--.pdf" TargetMode="External"/><Relationship Id="rId17" Type="http://schemas.openxmlformats.org/officeDocument/2006/relationships/hyperlink" Target="https://www.epditaly.it/en/wp-content/uploads/2016/12/3_-ICC-EPD-N1VC7V-K-01.pdf" TargetMode="External"/><Relationship Id="rId25" Type="http://schemas.openxmlformats.org/officeDocument/2006/relationships/hyperlink" Target="https://www.epditaly.it/en/wp-content/uploads/2016/12/5_-ICC-EPD-N1VC7V-K-X1151-03.pdf" TargetMode="External"/><Relationship Id="rId33" Type="http://schemas.openxmlformats.org/officeDocument/2006/relationships/printerSettings" Target="../printerSettings/printerSettings3.bin"/><Relationship Id="rId2" Type="http://schemas.openxmlformats.org/officeDocument/2006/relationships/hyperlink" Target="https://www.epditaly.it/en/wp-content/uploads/2016/12/Sieyuan-Hertz-EPD_Capacitor-voltage-transformer_November-2021-.pdf" TargetMode="External"/><Relationship Id="rId16" Type="http://schemas.openxmlformats.org/officeDocument/2006/relationships/hyperlink" Target="https://www.epditaly.it/en/wp-content/uploads/2016/12/3_-ICC-EPD-N1VC7V-K-01.pdf" TargetMode="External"/><Relationship Id="rId20" Type="http://schemas.openxmlformats.org/officeDocument/2006/relationships/hyperlink" Target="https://www.epditaly.it/en/wp-content/uploads/2016/12/4_-ICC-EPD-N1VC7V-K-02.pdf" TargetMode="External"/><Relationship Id="rId29" Type="http://schemas.openxmlformats.org/officeDocument/2006/relationships/hyperlink" Target="https://www.epditaly.it/en/wp-content/uploads/2016/12/2_-ICC-EPD-FS17-02.pdf" TargetMode="External"/><Relationship Id="rId1" Type="http://schemas.openxmlformats.org/officeDocument/2006/relationships/hyperlink" Target="https://www.epditaly.it/en/wp-content/uploads/2016/12/Sieyuan-hertz-EPD_Current-transformer_November-2021.pdf" TargetMode="External"/><Relationship Id="rId6" Type="http://schemas.openxmlformats.org/officeDocument/2006/relationships/hyperlink" Target="https://www.epditaly.it/en/wp-content/uploads/2016/12/EPDItaly_22EN312_def.pdf" TargetMode="External"/><Relationship Id="rId11" Type="http://schemas.openxmlformats.org/officeDocument/2006/relationships/hyperlink" Target="https://www.epditaly.it/en/wp-content/uploads/2016/12/EPD_Romagnole-75kVA-transformer-v.2.0.pdf" TargetMode="External"/><Relationship Id="rId24" Type="http://schemas.openxmlformats.org/officeDocument/2006/relationships/hyperlink" Target="https://www.epditaly.it/en/wp-content/uploads/2016/12/4_-ICC-EPD-N1VC7V-K-02.pdf" TargetMode="External"/><Relationship Id="rId32" Type="http://schemas.openxmlformats.org/officeDocument/2006/relationships/hyperlink" Target="https://www.epd-norge.no/getfile.php/1354356-1734000465/EPDer/Byggevarer/NEPD-6055-5318_AXALJ-TT-Eco-Cable-3x50-25-ALCL-12kV.pdf" TargetMode="External"/><Relationship Id="rId5" Type="http://schemas.openxmlformats.org/officeDocument/2006/relationships/hyperlink" Target="https://www.epditaly.it/en/wp-content/uploads/2016/12/EPD-for-Jiangsu-Rugao-disconnect-switches-Disconnecter-and-Earth-Switch-....pdf" TargetMode="External"/><Relationship Id="rId15" Type="http://schemas.openxmlformats.org/officeDocument/2006/relationships/hyperlink" Target="https://www.epditaly.it/en/wp-content/uploads/2016/12/Prysmian_EPD_ARE4E.pdf" TargetMode="External"/><Relationship Id="rId23" Type="http://schemas.openxmlformats.org/officeDocument/2006/relationships/hyperlink" Target="https://www.epditaly.it/en/wp-content/uploads/2016/12/4_-ICC-EPD-N1VC7V-K-02.pdf" TargetMode="External"/><Relationship Id="rId28" Type="http://schemas.openxmlformats.org/officeDocument/2006/relationships/hyperlink" Target="https://www.epditaly.it/en/wp-content/uploads/2016/12/2_-ICC-EPD-FS17-02.pdf" TargetMode="External"/><Relationship Id="rId36" Type="http://schemas.openxmlformats.org/officeDocument/2006/relationships/comments" Target="../comments4.xml"/><Relationship Id="rId10" Type="http://schemas.openxmlformats.org/officeDocument/2006/relationships/hyperlink" Target="https://www.epditaly.it/en/wp-content/uploads/2016/12/EPD_XIANGHE_Anthesis_Lavola_.REV_03.01.2022_v3_update-10.07.2024.pdf" TargetMode="External"/><Relationship Id="rId19" Type="http://schemas.openxmlformats.org/officeDocument/2006/relationships/hyperlink" Target="https://www.epditaly.it/en/wp-content/uploads/2016/12/3_-ICC-EPD-N1VC7V-K-01.pdf" TargetMode="External"/><Relationship Id="rId31" Type="http://schemas.openxmlformats.org/officeDocument/2006/relationships/hyperlink" Target="https://o365ren-my.sharepoint.com/personal/EX003996/Downloads/Relat&#195;&#179;rio_Anual_2023%20(3).pdf" TargetMode="External"/><Relationship Id="rId4" Type="http://schemas.openxmlformats.org/officeDocument/2006/relationships/hyperlink" Target="https://www.epditaly.it/en/wp-content/uploads/2016/12/Final-EPD-Report-CM-UP2020Lite-Complete-Kit.pdf" TargetMode="External"/><Relationship Id="rId9" Type="http://schemas.openxmlformats.org/officeDocument/2006/relationships/hyperlink" Target="https://www.epditaly.it/en/wp-content/uploads/2016/12/EPD-of-Taikai-Circuit-Breaker_V6.pdf" TargetMode="External"/><Relationship Id="rId14" Type="http://schemas.openxmlformats.org/officeDocument/2006/relationships/hyperlink" Target="https://www.epd-norge.no/getfile.php/13183079-1741660582/EPDer/Byggevarer/NEPD-7101-6495_EXQ-Pure-3G1-5.pdf" TargetMode="External"/><Relationship Id="rId22" Type="http://schemas.openxmlformats.org/officeDocument/2006/relationships/hyperlink" Target="https://www.epditaly.it/en/wp-content/uploads/2016/12/4_-ICC-EPD-N1VC7V-K-02.pdf" TargetMode="External"/><Relationship Id="rId27" Type="http://schemas.openxmlformats.org/officeDocument/2006/relationships/hyperlink" Target="https://www.epditaly.it/en/wp-content/uploads/2016/12/5_-ICC-EPD-N1VC7V-K-X1151-03.pdf" TargetMode="External"/><Relationship Id="rId30" Type="http://schemas.openxmlformats.org/officeDocument/2006/relationships/hyperlink" Target="https://www.epd-norge.no/getfile.php/13182838-1741660189/EPDer/Byggevarer/NEPD-7241-6579_Medium-voltage-gas-insulated-Ring-Main-Unit-Safe-Air-V.pdf" TargetMode="External"/><Relationship Id="rId35" Type="http://schemas.openxmlformats.org/officeDocument/2006/relationships/vmlDrawing" Target="../drawings/vmlDrawing4.v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8A9B4-0E28-470F-80BC-E1C9BD5523EE}">
  <sheetPr codeName="Folha2">
    <tabColor theme="4" tint="-0.499984740745262"/>
  </sheetPr>
  <dimension ref="A1"/>
  <sheetViews>
    <sheetView showGridLines="0" tabSelected="1" topLeftCell="B1" workbookViewId="0">
      <selection activeCell="E26" sqref="E26"/>
    </sheetView>
  </sheetViews>
  <sheetFormatPr defaultRowHeight="15" x14ac:dyDescent="0.25"/>
  <sheetData/>
  <sheetProtection algorithmName="SHA-512" hashValue="eSHu/M63WaCsqycc3teVdrVoZxERIFWm9nYTEGd5erf+ZHZ81kwpen/AKqnQM1J1/KdH/octh+/vEi6k2c125A==" saltValue="we2k8VUvhEL1z7vEurfBkg==" spinCount="100000" sheet="1" objects="1" scenarios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lha1">
    <tabColor theme="4" tint="-0.499984740745262"/>
  </sheetPr>
  <dimension ref="A1:O35"/>
  <sheetViews>
    <sheetView workbookViewId="0">
      <selection activeCell="N30" sqref="N30"/>
    </sheetView>
  </sheetViews>
  <sheetFormatPr defaultColWidth="8.7109375" defaultRowHeight="15" x14ac:dyDescent="0.25"/>
  <cols>
    <col min="1" max="1" width="2.7109375" style="3" customWidth="1"/>
    <col min="2" max="2" width="9.5703125" style="3" customWidth="1"/>
    <col min="3" max="3" width="16.5703125" style="3" bestFit="1" customWidth="1"/>
    <col min="4" max="4" width="61.5703125" style="3" bestFit="1" customWidth="1"/>
    <col min="5" max="5" width="13.140625" style="3" customWidth="1"/>
    <col min="6" max="6" width="13" style="3" customWidth="1"/>
    <col min="7" max="7" width="8.7109375" style="3" customWidth="1"/>
    <col min="8" max="8" width="12.140625" style="3" customWidth="1"/>
    <col min="9" max="9" width="8.7109375" style="3" customWidth="1"/>
    <col min="10" max="16384" width="8.7109375" style="3"/>
  </cols>
  <sheetData>
    <row r="1" spans="1:15" s="240" customFormat="1" ht="18.600000000000001" customHeight="1" x14ac:dyDescent="0.25">
      <c r="A1" s="382" t="s">
        <v>0</v>
      </c>
      <c r="B1" s="383"/>
      <c r="C1" s="383"/>
      <c r="D1" s="383"/>
      <c r="E1" s="383"/>
      <c r="F1" s="383"/>
      <c r="G1" s="383"/>
      <c r="H1" s="383"/>
      <c r="I1" s="383"/>
      <c r="J1" s="383"/>
      <c r="K1" s="383"/>
      <c r="L1" s="383"/>
      <c r="M1" s="203"/>
      <c r="N1" s="203"/>
      <c r="O1" s="239"/>
    </row>
    <row r="3" spans="1:15" ht="15.6" customHeight="1" x14ac:dyDescent="0.25">
      <c r="B3" s="96" t="s">
        <v>1</v>
      </c>
    </row>
    <row r="28" spans="2:4" ht="15.6" customHeight="1" x14ac:dyDescent="0.25">
      <c r="B28" s="96" t="s">
        <v>2</v>
      </c>
    </row>
    <row r="30" spans="2:4" x14ac:dyDescent="0.25">
      <c r="B30" s="3" t="s">
        <v>3</v>
      </c>
    </row>
    <row r="32" spans="2:4" x14ac:dyDescent="0.25">
      <c r="B32" s="97" t="s">
        <v>4</v>
      </c>
      <c r="C32" s="97" t="s">
        <v>5</v>
      </c>
      <c r="D32" s="97" t="s">
        <v>6</v>
      </c>
    </row>
    <row r="33" spans="2:4" x14ac:dyDescent="0.25">
      <c r="B33" s="97">
        <v>2</v>
      </c>
      <c r="C33" s="98" t="s">
        <v>7</v>
      </c>
      <c r="D33" s="98" t="s">
        <v>8</v>
      </c>
    </row>
    <row r="34" spans="2:4" x14ac:dyDescent="0.25">
      <c r="B34" s="98">
        <v>1</v>
      </c>
      <c r="C34" s="98" t="s">
        <v>9</v>
      </c>
      <c r="D34" s="98" t="s">
        <v>10</v>
      </c>
    </row>
    <row r="35" spans="2:4" x14ac:dyDescent="0.25">
      <c r="B35" s="98">
        <v>0</v>
      </c>
      <c r="C35" s="98" t="s">
        <v>11</v>
      </c>
      <c r="D35" s="99" t="s">
        <v>12</v>
      </c>
    </row>
  </sheetData>
  <sheetProtection algorithmName="SHA-512" hashValue="Bmg2pfCvgNlCB57AjoolUBhdVDw6gdehd6gze6AOZFTAeqMJ0G5gOtJy2cYqUFF8Wz2bGVVBf8Dpp+f9TSDi+Q==" saltValue="vRd/5faRxYcC+MwgkMHWEw==" spinCount="100000" sheet="1" objects="1" scenarios="1"/>
  <mergeCells count="1">
    <mergeCell ref="A1:L1"/>
  </mergeCells>
  <pageMargins left="0.7" right="0.7" top="0.75" bottom="0.75" header="0.3" footer="0.3"/>
  <pageSetup paperSize="9"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51001-57EA-4A0F-BF14-B12FC36760A4}">
  <sheetPr codeName="Folha6">
    <tabColor theme="4" tint="-0.499984740745262"/>
  </sheetPr>
  <dimension ref="A1:AL287"/>
  <sheetViews>
    <sheetView showGridLines="0" topLeftCell="A155" zoomScale="85" zoomScaleNormal="85" workbookViewId="0">
      <selection activeCell="B170" sqref="B170:AK211"/>
    </sheetView>
  </sheetViews>
  <sheetFormatPr defaultColWidth="7.140625" defaultRowHeight="15.95" customHeight="1" x14ac:dyDescent="0.25"/>
  <cols>
    <col min="1" max="1" width="2.42578125" style="35" customWidth="1"/>
    <col min="2" max="6" width="9.7109375" style="35" customWidth="1"/>
    <col min="7" max="7" width="12.42578125" style="35" customWidth="1"/>
    <col min="8" max="8" width="15.42578125" style="35" customWidth="1"/>
    <col min="9" max="9" width="12.42578125" style="35" customWidth="1"/>
    <col min="10" max="10" width="12.140625" style="35" customWidth="1"/>
    <col min="11" max="11" width="20.28515625" style="35" customWidth="1"/>
    <col min="12" max="12" width="13.140625" style="35" bestFit="1" customWidth="1"/>
    <col min="13" max="13" width="7.140625" style="35" customWidth="1"/>
    <col min="14" max="14" width="16.28515625" style="35" bestFit="1" customWidth="1"/>
    <col min="15" max="15" width="4.7109375" style="35" customWidth="1"/>
    <col min="16" max="16" width="7.140625" style="35"/>
    <col min="17" max="17" width="9.42578125" style="35" bestFit="1" customWidth="1"/>
    <col min="18" max="18" width="7.5703125" style="35" bestFit="1" customWidth="1"/>
    <col min="19" max="19" width="11.140625" style="35" customWidth="1"/>
    <col min="20" max="20" width="7.140625" style="35"/>
    <col min="21" max="21" width="4.5703125" style="35" customWidth="1"/>
    <col min="22" max="22" width="7.140625" style="35"/>
    <col min="23" max="23" width="7.28515625" style="35" customWidth="1"/>
    <col min="24" max="24" width="3.5703125" style="35" customWidth="1"/>
    <col min="25" max="25" width="7.140625" style="35" customWidth="1"/>
    <col min="26" max="16384" width="7.140625" style="35"/>
  </cols>
  <sheetData>
    <row r="1" spans="1:24" s="199" customFormat="1" ht="33.75" customHeight="1" x14ac:dyDescent="0.25">
      <c r="A1" s="382" t="s">
        <v>13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  <c r="N1" s="382"/>
      <c r="O1" s="382"/>
      <c r="P1" s="382"/>
      <c r="Q1" s="382"/>
      <c r="R1" s="382"/>
      <c r="S1" s="382"/>
      <c r="T1" s="382"/>
      <c r="U1" s="382"/>
      <c r="V1" s="382"/>
      <c r="W1" s="382"/>
      <c r="X1" s="382"/>
    </row>
    <row r="2" spans="1:24" s="3" customFormat="1" ht="21.6" customHeight="1" x14ac:dyDescent="0.25">
      <c r="J2" s="195"/>
    </row>
    <row r="5" spans="1:24" s="460" customFormat="1" ht="15.95" customHeight="1" x14ac:dyDescent="0.25">
      <c r="A5" s="460" t="s">
        <v>513</v>
      </c>
    </row>
    <row r="6" spans="1:24" s="460" customFormat="1" ht="15.95" customHeight="1" x14ac:dyDescent="0.25"/>
    <row r="7" spans="1:24" s="277" customFormat="1" ht="15.95" customHeight="1" x14ac:dyDescent="0.25">
      <c r="A7" s="344"/>
      <c r="B7" s="344"/>
      <c r="C7" s="344"/>
      <c r="D7" s="344"/>
      <c r="E7" s="344"/>
      <c r="F7" s="344"/>
      <c r="G7" s="344"/>
      <c r="H7" s="344"/>
    </row>
    <row r="8" spans="1:24" ht="15.95" customHeight="1" x14ac:dyDescent="0.25">
      <c r="B8" s="96" t="s">
        <v>14</v>
      </c>
    </row>
    <row r="10" spans="1:24" ht="15.95" customHeight="1" x14ac:dyDescent="0.25">
      <c r="B10" s="3" t="s">
        <v>15</v>
      </c>
    </row>
    <row r="11" spans="1:24" ht="15.95" customHeight="1" x14ac:dyDescent="0.25">
      <c r="B11" s="100" t="s">
        <v>16</v>
      </c>
    </row>
    <row r="12" spans="1:24" ht="15.95" customHeight="1" x14ac:dyDescent="0.25">
      <c r="B12" s="100" t="s">
        <v>17</v>
      </c>
    </row>
    <row r="13" spans="1:24" ht="15.95" customHeight="1" x14ac:dyDescent="0.25">
      <c r="B13" s="100" t="s">
        <v>18</v>
      </c>
    </row>
    <row r="14" spans="1:24" ht="15.95" customHeight="1" x14ac:dyDescent="0.25">
      <c r="B14" s="100"/>
    </row>
    <row r="15" spans="1:24" ht="20.45" customHeight="1" x14ac:dyDescent="0.25"/>
    <row r="16" spans="1:24" ht="15.95" customHeight="1" x14ac:dyDescent="0.25">
      <c r="I16" s="496" t="s">
        <v>19</v>
      </c>
      <c r="J16" s="497"/>
      <c r="K16" s="497"/>
      <c r="L16" s="497"/>
      <c r="M16" s="497"/>
      <c r="N16" s="497"/>
      <c r="O16" s="498"/>
    </row>
    <row r="17" spans="4:38" ht="15.95" customHeight="1" x14ac:dyDescent="0.25">
      <c r="I17" s="508" t="s">
        <v>20</v>
      </c>
      <c r="J17" s="508"/>
      <c r="K17" s="508"/>
      <c r="L17" s="508"/>
      <c r="M17" s="508"/>
      <c r="N17" s="508"/>
      <c r="O17" s="508"/>
      <c r="W17" s="499"/>
      <c r="X17" s="499"/>
      <c r="Y17" s="499"/>
    </row>
    <row r="18" spans="4:38" ht="15.95" customHeight="1" x14ac:dyDescent="0.25">
      <c r="I18" s="508"/>
      <c r="J18" s="508"/>
      <c r="K18" s="508"/>
      <c r="L18" s="508"/>
      <c r="M18" s="508"/>
      <c r="N18" s="508"/>
      <c r="O18" s="508"/>
      <c r="P18" s="36"/>
    </row>
    <row r="19" spans="4:38" ht="15.95" customHeight="1" x14ac:dyDescent="0.25">
      <c r="I19" s="508"/>
      <c r="J19" s="508"/>
      <c r="K19" s="508"/>
      <c r="L19" s="508"/>
      <c r="M19" s="508"/>
      <c r="N19" s="508"/>
      <c r="O19" s="508"/>
      <c r="P19" s="36"/>
    </row>
    <row r="23" spans="4:38" ht="15.95" customHeight="1" x14ac:dyDescent="0.25">
      <c r="D23" s="235"/>
      <c r="E23" s="500" t="s">
        <v>21</v>
      </c>
      <c r="F23" s="501"/>
      <c r="G23" s="501"/>
      <c r="H23" s="501"/>
      <c r="I23" s="501"/>
      <c r="J23" s="501"/>
      <c r="K23" s="501"/>
      <c r="L23" s="501"/>
      <c r="M23" s="501"/>
      <c r="N23" s="501"/>
      <c r="O23" s="501"/>
      <c r="P23" s="501"/>
      <c r="Q23" s="501"/>
      <c r="R23" s="501"/>
      <c r="S23" s="502"/>
      <c r="T23" s="236"/>
      <c r="U23" s="174"/>
    </row>
    <row r="24" spans="4:38" ht="15.95" customHeight="1" x14ac:dyDescent="0.25">
      <c r="D24" s="174"/>
      <c r="I24" s="179"/>
      <c r="J24" s="179"/>
      <c r="T24" s="175"/>
      <c r="U24" s="174"/>
    </row>
    <row r="25" spans="4:38" ht="15.95" customHeight="1" x14ac:dyDescent="0.25">
      <c r="D25" s="503" t="s">
        <v>22</v>
      </c>
      <c r="E25" s="504"/>
      <c r="F25" s="504"/>
      <c r="G25" s="504"/>
      <c r="H25" s="504"/>
      <c r="I25" s="504"/>
      <c r="J25" s="504"/>
      <c r="K25" s="504"/>
      <c r="L25" s="504"/>
      <c r="M25" s="504"/>
      <c r="N25" s="504"/>
      <c r="O25" s="504"/>
      <c r="P25" s="504"/>
      <c r="Q25" s="504"/>
      <c r="R25" s="504"/>
      <c r="S25" s="504"/>
      <c r="T25" s="505"/>
      <c r="U25" s="274"/>
      <c r="V25" s="275"/>
      <c r="AB25" s="474" t="s">
        <v>23</v>
      </c>
      <c r="AC25" s="475"/>
      <c r="AD25" s="475"/>
      <c r="AE25" s="475"/>
      <c r="AF25" s="475"/>
      <c r="AG25" s="475"/>
      <c r="AH25" s="475"/>
      <c r="AI25" s="475"/>
      <c r="AJ25" s="475"/>
      <c r="AK25" s="475"/>
      <c r="AL25" s="476"/>
    </row>
    <row r="26" spans="4:38" ht="15.95" customHeight="1" x14ac:dyDescent="0.25">
      <c r="D26" s="489" t="s">
        <v>24</v>
      </c>
      <c r="E26" s="490"/>
      <c r="F26" s="36"/>
      <c r="G26" s="489" t="s">
        <v>25</v>
      </c>
      <c r="H26" s="490"/>
      <c r="J26" s="489" t="s">
        <v>26</v>
      </c>
      <c r="K26" s="490"/>
      <c r="M26" s="489" t="s">
        <v>27</v>
      </c>
      <c r="N26" s="490"/>
      <c r="P26" s="489" t="s">
        <v>28</v>
      </c>
      <c r="Q26" s="490"/>
      <c r="S26" s="489" t="s">
        <v>29</v>
      </c>
      <c r="T26" s="490"/>
      <c r="U26" s="174"/>
      <c r="V26" s="180"/>
      <c r="AB26" s="462" t="s">
        <v>30</v>
      </c>
      <c r="AC26" s="463"/>
      <c r="AD26" s="36"/>
      <c r="AE26" s="462" t="s">
        <v>31</v>
      </c>
      <c r="AF26" s="466"/>
      <c r="AG26" s="466"/>
      <c r="AH26" s="463"/>
      <c r="AJ26" s="468" t="s">
        <v>32</v>
      </c>
      <c r="AK26" s="469"/>
      <c r="AL26" s="470"/>
    </row>
    <row r="27" spans="4:38" ht="15.95" customHeight="1" x14ac:dyDescent="0.25">
      <c r="D27" s="464"/>
      <c r="E27" s="465"/>
      <c r="F27" s="36"/>
      <c r="G27" s="464"/>
      <c r="H27" s="465"/>
      <c r="J27" s="464"/>
      <c r="K27" s="465"/>
      <c r="M27" s="464"/>
      <c r="N27" s="465"/>
      <c r="P27" s="464"/>
      <c r="Q27" s="465"/>
      <c r="S27" s="464"/>
      <c r="T27" s="465"/>
      <c r="U27" s="174"/>
      <c r="V27" s="180"/>
      <c r="AB27" s="462"/>
      <c r="AC27" s="463"/>
      <c r="AD27" s="36"/>
      <c r="AE27" s="462"/>
      <c r="AF27" s="466"/>
      <c r="AG27" s="466"/>
      <c r="AH27" s="463"/>
      <c r="AJ27" s="468"/>
      <c r="AK27" s="469"/>
      <c r="AL27" s="470"/>
    </row>
    <row r="28" spans="4:38" ht="15.95" customHeight="1" x14ac:dyDescent="0.25">
      <c r="D28" s="174"/>
      <c r="T28" s="175"/>
      <c r="U28" s="174"/>
      <c r="Y28" s="276"/>
      <c r="Z28" s="276"/>
      <c r="AB28" s="464"/>
      <c r="AC28" s="465"/>
      <c r="AD28" s="36"/>
      <c r="AE28" s="464"/>
      <c r="AF28" s="467"/>
      <c r="AG28" s="467"/>
      <c r="AH28" s="465"/>
      <c r="AJ28" s="471"/>
      <c r="AK28" s="472"/>
      <c r="AL28" s="473"/>
    </row>
    <row r="29" spans="4:38" ht="12" customHeight="1" x14ac:dyDescent="0.25">
      <c r="D29" s="174"/>
      <c r="T29" s="175"/>
      <c r="U29" s="174"/>
      <c r="Y29" s="276"/>
      <c r="Z29" s="276"/>
    </row>
    <row r="30" spans="4:38" ht="3.95" hidden="1" customHeight="1" x14ac:dyDescent="0.25">
      <c r="D30" s="174"/>
      <c r="T30" s="175"/>
      <c r="U30" s="174"/>
      <c r="Y30" s="276"/>
      <c r="Z30" s="276"/>
    </row>
    <row r="31" spans="4:38" ht="15.95" customHeight="1" x14ac:dyDescent="0.25">
      <c r="D31" s="174"/>
      <c r="J31" s="489" t="s">
        <v>33</v>
      </c>
      <c r="K31" s="506"/>
      <c r="L31" s="490"/>
      <c r="N31" s="59"/>
      <c r="O31" s="59"/>
      <c r="P31" s="59"/>
      <c r="Q31" s="59"/>
      <c r="R31" s="36"/>
      <c r="T31" s="175"/>
      <c r="U31" s="174"/>
      <c r="Y31" s="276"/>
      <c r="Z31" s="276"/>
    </row>
    <row r="32" spans="4:38" ht="15.95" customHeight="1" x14ac:dyDescent="0.25">
      <c r="D32" s="174"/>
      <c r="J32" s="464"/>
      <c r="K32" s="467"/>
      <c r="L32" s="465"/>
      <c r="O32" s="59"/>
      <c r="P32" s="59"/>
      <c r="Q32" s="59"/>
      <c r="R32" s="59"/>
      <c r="S32" s="36"/>
      <c r="T32" s="175"/>
      <c r="U32" s="174"/>
    </row>
    <row r="33" spans="3:25" ht="15.95" customHeight="1" x14ac:dyDescent="0.25">
      <c r="D33" s="174"/>
      <c r="J33" s="60"/>
      <c r="K33" s="60"/>
      <c r="L33" s="60"/>
      <c r="M33" s="60"/>
      <c r="O33" s="36"/>
      <c r="P33" s="36"/>
      <c r="Q33" s="36"/>
      <c r="T33" s="175"/>
      <c r="U33" s="174"/>
    </row>
    <row r="34" spans="3:25" ht="15.95" customHeight="1" x14ac:dyDescent="0.25">
      <c r="D34" s="174"/>
      <c r="J34" s="487" t="s">
        <v>34</v>
      </c>
      <c r="K34" s="507"/>
      <c r="L34" s="488"/>
      <c r="N34" s="499"/>
      <c r="O34" s="499"/>
      <c r="P34" s="499"/>
      <c r="Q34" s="499"/>
      <c r="T34" s="175"/>
      <c r="U34" s="174"/>
    </row>
    <row r="35" spans="3:25" ht="15.95" customHeight="1" x14ac:dyDescent="0.25">
      <c r="D35" s="176"/>
      <c r="E35" s="177"/>
      <c r="F35" s="177"/>
      <c r="G35" s="177"/>
      <c r="H35" s="177"/>
      <c r="I35" s="177"/>
      <c r="J35" s="471"/>
      <c r="K35" s="472"/>
      <c r="L35" s="473"/>
      <c r="M35" s="177"/>
      <c r="N35" s="495"/>
      <c r="O35" s="495"/>
      <c r="P35" s="495"/>
      <c r="Q35" s="495"/>
      <c r="R35" s="177"/>
      <c r="S35" s="181"/>
      <c r="T35" s="182"/>
      <c r="U35" s="174"/>
    </row>
    <row r="37" spans="3:25" ht="6" customHeight="1" x14ac:dyDescent="0.25">
      <c r="I37" s="179"/>
    </row>
    <row r="38" spans="3:25" ht="15.95" customHeight="1" x14ac:dyDescent="0.25">
      <c r="C38" s="484" t="s">
        <v>35</v>
      </c>
      <c r="D38" s="485"/>
      <c r="E38" s="485"/>
      <c r="F38" s="485"/>
      <c r="G38" s="485"/>
      <c r="H38" s="485"/>
      <c r="I38" s="485"/>
      <c r="J38" s="485"/>
      <c r="K38" s="485"/>
      <c r="L38" s="485"/>
      <c r="M38" s="485"/>
      <c r="N38" s="485"/>
      <c r="O38" s="485"/>
      <c r="P38" s="485"/>
      <c r="Q38" s="485"/>
      <c r="R38" s="485"/>
      <c r="S38" s="485"/>
      <c r="T38" s="486"/>
    </row>
    <row r="39" spans="3:25" ht="15.95" customHeight="1" x14ac:dyDescent="0.25">
      <c r="C39" s="174"/>
      <c r="T39" s="175"/>
    </row>
    <row r="40" spans="3:25" ht="15.95" customHeight="1" x14ac:dyDescent="0.25">
      <c r="C40" s="491" t="s">
        <v>36</v>
      </c>
      <c r="D40" s="492"/>
      <c r="F40" s="487" t="s">
        <v>37</v>
      </c>
      <c r="G40" s="488"/>
      <c r="I40" s="487" t="s">
        <v>402</v>
      </c>
      <c r="J40" s="488"/>
      <c r="L40" s="487" t="s">
        <v>38</v>
      </c>
      <c r="M40" s="488"/>
      <c r="P40" s="487" t="s">
        <v>39</v>
      </c>
      <c r="Q40" s="488"/>
      <c r="S40" s="487" t="s">
        <v>40</v>
      </c>
      <c r="T40" s="488"/>
    </row>
    <row r="41" spans="3:25" ht="50.1" customHeight="1" x14ac:dyDescent="0.25">
      <c r="C41" s="493"/>
      <c r="D41" s="494"/>
      <c r="F41" s="471"/>
      <c r="G41" s="473"/>
      <c r="I41" s="471"/>
      <c r="J41" s="473"/>
      <c r="L41" s="471"/>
      <c r="M41" s="473"/>
      <c r="P41" s="471"/>
      <c r="Q41" s="473"/>
      <c r="S41" s="471"/>
      <c r="T41" s="473"/>
    </row>
    <row r="42" spans="3:25" ht="17.100000000000001" customHeight="1" x14ac:dyDescent="0.25">
      <c r="C42" s="176"/>
      <c r="D42" s="177"/>
      <c r="E42" s="177"/>
      <c r="F42" s="177"/>
      <c r="G42" s="177"/>
      <c r="H42" s="177"/>
      <c r="I42" s="177"/>
      <c r="J42" s="177"/>
      <c r="K42" s="177"/>
      <c r="L42" s="177"/>
      <c r="M42" s="177"/>
      <c r="N42" s="177"/>
      <c r="O42" s="177"/>
      <c r="P42" s="177"/>
      <c r="Q42" s="177"/>
      <c r="R42" s="177"/>
      <c r="S42" s="177"/>
      <c r="T42" s="178"/>
    </row>
    <row r="44" spans="3:25" ht="2.4500000000000002" customHeight="1" x14ac:dyDescent="0.25"/>
    <row r="45" spans="3:25" ht="15.95" customHeight="1" x14ac:dyDescent="0.25">
      <c r="C45" s="481" t="s">
        <v>41</v>
      </c>
      <c r="D45" s="482"/>
      <c r="E45" s="482"/>
      <c r="F45" s="482"/>
      <c r="G45" s="482"/>
      <c r="H45" s="482"/>
      <c r="I45" s="482"/>
      <c r="J45" s="482"/>
      <c r="K45" s="482"/>
      <c r="L45" s="482"/>
      <c r="M45" s="482"/>
      <c r="N45" s="482"/>
      <c r="O45" s="482"/>
      <c r="P45" s="482"/>
      <c r="Q45" s="482"/>
      <c r="R45" s="482"/>
      <c r="S45" s="482"/>
      <c r="T45" s="483"/>
    </row>
    <row r="46" spans="3:25" ht="15.95" customHeight="1" x14ac:dyDescent="0.25">
      <c r="C46" s="278"/>
      <c r="D46" s="279"/>
      <c r="E46" s="279"/>
      <c r="F46" s="279"/>
      <c r="G46" s="279"/>
      <c r="H46" s="279"/>
      <c r="I46" s="279"/>
      <c r="J46" s="279"/>
      <c r="K46" s="279"/>
      <c r="L46" s="279"/>
      <c r="M46" s="279"/>
      <c r="N46" s="279"/>
      <c r="O46" s="279"/>
      <c r="P46" s="279"/>
      <c r="Q46" s="279"/>
      <c r="R46" s="279"/>
      <c r="S46" s="279"/>
      <c r="T46" s="280"/>
      <c r="Y46" s="276"/>
    </row>
    <row r="47" spans="3:25" ht="15.95" customHeight="1" x14ac:dyDescent="0.25">
      <c r="C47" s="174"/>
      <c r="E47" s="489" t="s">
        <v>24</v>
      </c>
      <c r="F47" s="490"/>
      <c r="H47" s="489" t="s">
        <v>25</v>
      </c>
      <c r="I47" s="490"/>
      <c r="K47" s="489" t="s">
        <v>26</v>
      </c>
      <c r="L47" s="490"/>
      <c r="N47" s="489" t="s">
        <v>27</v>
      </c>
      <c r="O47" s="490"/>
      <c r="Q47" s="487" t="s">
        <v>42</v>
      </c>
      <c r="R47" s="488"/>
      <c r="S47" s="277"/>
      <c r="T47" s="283"/>
    </row>
    <row r="48" spans="3:25" ht="15.95" customHeight="1" x14ac:dyDescent="0.25">
      <c r="C48" s="174"/>
      <c r="E48" s="464"/>
      <c r="F48" s="465"/>
      <c r="H48" s="464"/>
      <c r="I48" s="465"/>
      <c r="K48" s="464"/>
      <c r="L48" s="465"/>
      <c r="N48" s="464"/>
      <c r="O48" s="465"/>
      <c r="Q48" s="471"/>
      <c r="R48" s="473"/>
      <c r="S48" s="477"/>
      <c r="T48" s="478"/>
    </row>
    <row r="49" spans="2:20" ht="15.95" customHeight="1" x14ac:dyDescent="0.25">
      <c r="C49" s="281"/>
      <c r="D49" s="282"/>
      <c r="E49" s="282"/>
      <c r="F49" s="282"/>
      <c r="G49" s="282"/>
      <c r="H49" s="282"/>
      <c r="I49" s="282"/>
      <c r="J49" s="282"/>
      <c r="K49" s="282"/>
      <c r="L49" s="282"/>
      <c r="M49" s="282"/>
      <c r="N49" s="282"/>
      <c r="O49" s="282"/>
      <c r="P49" s="282"/>
      <c r="Q49" s="282"/>
      <c r="R49" s="282"/>
      <c r="S49" s="479"/>
      <c r="T49" s="480"/>
    </row>
    <row r="51" spans="2:20" ht="15.95" customHeight="1" x14ac:dyDescent="0.25">
      <c r="B51" s="100" t="s">
        <v>403</v>
      </c>
    </row>
    <row r="52" spans="2:20" ht="15.95" customHeight="1" x14ac:dyDescent="0.25">
      <c r="B52" s="100" t="s">
        <v>404</v>
      </c>
      <c r="C52" s="100"/>
      <c r="D52" s="100"/>
      <c r="E52" s="100"/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</row>
    <row r="54" spans="2:20" ht="15.95" customHeight="1" x14ac:dyDescent="0.25">
      <c r="B54" s="96" t="s">
        <v>43</v>
      </c>
      <c r="G54" s="36"/>
    </row>
    <row r="56" spans="2:20" ht="15.95" customHeight="1" x14ac:dyDescent="0.25">
      <c r="B56" s="101" t="s">
        <v>44</v>
      </c>
    </row>
    <row r="73" spans="2:2" ht="15.95" customHeight="1" x14ac:dyDescent="0.25">
      <c r="B73" s="101" t="s">
        <v>21</v>
      </c>
    </row>
    <row r="99" spans="2:2" ht="15.95" customHeight="1" x14ac:dyDescent="0.25">
      <c r="B99" s="101" t="s">
        <v>35</v>
      </c>
    </row>
    <row r="124" spans="2:2" ht="15.95" customHeight="1" x14ac:dyDescent="0.25">
      <c r="B124" s="101" t="s">
        <v>45</v>
      </c>
    </row>
    <row r="142" spans="2:2" ht="15.95" customHeight="1" x14ac:dyDescent="0.25">
      <c r="B142" s="101" t="s">
        <v>41</v>
      </c>
    </row>
    <row r="160" spans="1:1" s="460" customFormat="1" ht="15.95" customHeight="1" x14ac:dyDescent="0.25">
      <c r="A160" s="460" t="s">
        <v>514</v>
      </c>
    </row>
    <row r="161" spans="2:37" s="460" customFormat="1" ht="15.95" customHeight="1" x14ac:dyDescent="0.25"/>
    <row r="163" spans="2:37" ht="15.95" customHeight="1" x14ac:dyDescent="0.25">
      <c r="B163" s="96" t="s">
        <v>14</v>
      </c>
    </row>
    <row r="165" spans="2:37" ht="15.95" customHeight="1" x14ac:dyDescent="0.25">
      <c r="B165" s="3" t="s">
        <v>515</v>
      </c>
    </row>
    <row r="166" spans="2:37" ht="15.95" customHeight="1" x14ac:dyDescent="0.25">
      <c r="B166" s="100" t="s">
        <v>516</v>
      </c>
    </row>
    <row r="167" spans="2:37" ht="15.95" customHeight="1" x14ac:dyDescent="0.25">
      <c r="B167" s="100" t="s">
        <v>17</v>
      </c>
    </row>
    <row r="168" spans="2:37" ht="15.95" customHeight="1" x14ac:dyDescent="0.25">
      <c r="B168" s="100" t="s">
        <v>18</v>
      </c>
    </row>
    <row r="169" spans="2:37" ht="15.95" customHeight="1" x14ac:dyDescent="0.25">
      <c r="B169" s="100"/>
    </row>
    <row r="170" spans="2:37" ht="15.95" customHeight="1" x14ac:dyDescent="0.25">
      <c r="G170" s="461"/>
      <c r="H170" s="461"/>
      <c r="I170" s="461"/>
      <c r="J170" s="461"/>
      <c r="K170" s="461"/>
      <c r="L170" s="461"/>
      <c r="M170" s="461"/>
    </row>
    <row r="171" spans="2:37" ht="15.95" customHeight="1" thickBot="1" x14ac:dyDescent="0.3"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 s="284"/>
      <c r="X171" s="284"/>
    </row>
    <row r="172" spans="2:37" ht="15.95" customHeight="1" thickBot="1" x14ac:dyDescent="0.25">
      <c r="B172" s="346"/>
      <c r="C172" s="347"/>
      <c r="D172" s="347"/>
      <c r="E172" s="347"/>
      <c r="F172" s="347"/>
      <c r="G172" s="403" t="s">
        <v>517</v>
      </c>
      <c r="H172" s="404"/>
      <c r="I172" s="404"/>
      <c r="J172" s="404"/>
      <c r="K172" s="404"/>
      <c r="L172" s="404"/>
      <c r="M172" s="405"/>
      <c r="N172" s="347"/>
      <c r="O172" s="347"/>
      <c r="P172" s="347"/>
      <c r="Q172" s="347"/>
      <c r="R172" s="347"/>
      <c r="S172" s="347"/>
      <c r="T172" s="347"/>
      <c r="U172" s="347"/>
      <c r="V172" s="347"/>
      <c r="W172" s="346"/>
      <c r="X172" s="346"/>
      <c r="Y172" s="346"/>
      <c r="Z172" s="346"/>
      <c r="AA172" s="346"/>
      <c r="AB172" s="346"/>
      <c r="AC172" s="346"/>
      <c r="AD172" s="346"/>
      <c r="AE172" s="346"/>
      <c r="AF172" s="346"/>
      <c r="AG172" s="346"/>
      <c r="AH172" s="346"/>
      <c r="AI172" s="346"/>
      <c r="AJ172" s="346"/>
      <c r="AK172" s="346"/>
    </row>
    <row r="173" spans="2:37" ht="15.95" customHeight="1" x14ac:dyDescent="0.2">
      <c r="B173" s="346"/>
      <c r="C173" s="347"/>
      <c r="D173" s="347"/>
      <c r="E173" s="347"/>
      <c r="F173" s="347"/>
      <c r="G173" s="432" t="s">
        <v>518</v>
      </c>
      <c r="H173" s="433"/>
      <c r="I173" s="433"/>
      <c r="J173" s="433"/>
      <c r="K173" s="433"/>
      <c r="L173" s="433"/>
      <c r="M173" s="434"/>
      <c r="N173" s="347"/>
      <c r="O173" s="347"/>
      <c r="P173" s="347"/>
      <c r="Q173" s="347"/>
      <c r="R173" s="347"/>
      <c r="S173" s="347"/>
      <c r="T173" s="347"/>
      <c r="U173" s="347"/>
      <c r="V173" s="347"/>
      <c r="W173" s="346"/>
      <c r="X173" s="346"/>
      <c r="Y173" s="346"/>
      <c r="Z173" s="346"/>
      <c r="AA173" s="346"/>
      <c r="AB173" s="346"/>
      <c r="AC173" s="346"/>
      <c r="AD173" s="346"/>
      <c r="AE173" s="346"/>
      <c r="AF173" s="346"/>
      <c r="AG173" s="346"/>
      <c r="AH173" s="346"/>
      <c r="AI173" s="346"/>
      <c r="AJ173" s="346"/>
      <c r="AK173" s="346"/>
    </row>
    <row r="174" spans="2:37" ht="15.95" customHeight="1" x14ac:dyDescent="0.25">
      <c r="B174" s="346"/>
      <c r="C174" s="346"/>
      <c r="D174" s="346"/>
      <c r="E174" s="346"/>
      <c r="F174" s="346"/>
      <c r="G174" s="435"/>
      <c r="H174" s="436"/>
      <c r="I174" s="436"/>
      <c r="J174" s="436"/>
      <c r="K174" s="436"/>
      <c r="L174" s="436"/>
      <c r="M174" s="437"/>
      <c r="N174" s="346"/>
      <c r="O174" s="346"/>
      <c r="P174" s="346"/>
      <c r="Q174" s="346"/>
      <c r="R174" s="346"/>
      <c r="S174" s="346"/>
      <c r="T174" s="346"/>
      <c r="U174" s="346"/>
      <c r="V174" s="346"/>
      <c r="W174" s="346"/>
      <c r="X174" s="346"/>
      <c r="Y174" s="346"/>
      <c r="Z174" s="346"/>
      <c r="AA174" s="346"/>
      <c r="AB174" s="346"/>
      <c r="AC174" s="346"/>
      <c r="AD174" s="346"/>
      <c r="AE174" s="346"/>
      <c r="AF174" s="346"/>
      <c r="AG174" s="346"/>
      <c r="AH174" s="346"/>
      <c r="AI174" s="346"/>
      <c r="AJ174" s="346"/>
      <c r="AK174" s="346"/>
    </row>
    <row r="175" spans="2:37" ht="15.95" customHeight="1" x14ac:dyDescent="0.25">
      <c r="B175" s="346"/>
      <c r="C175" s="346"/>
      <c r="D175" s="346"/>
      <c r="E175" s="346"/>
      <c r="F175" s="346"/>
      <c r="G175" s="435"/>
      <c r="H175" s="436"/>
      <c r="I175" s="436"/>
      <c r="J175" s="436"/>
      <c r="K175" s="436"/>
      <c r="L175" s="436"/>
      <c r="M175" s="437"/>
      <c r="N175" s="346"/>
      <c r="O175" s="346"/>
      <c r="P175" s="346"/>
      <c r="Q175" s="346"/>
      <c r="R175" s="346"/>
      <c r="S175" s="346"/>
      <c r="T175" s="346"/>
      <c r="U175" s="346"/>
      <c r="V175" s="348"/>
      <c r="W175" s="346"/>
      <c r="X175" s="346"/>
      <c r="Y175" s="346"/>
      <c r="Z175" s="346"/>
      <c r="AA175" s="346"/>
      <c r="AB175" s="346"/>
      <c r="AC175" s="346"/>
      <c r="AD175" s="346"/>
      <c r="AE175" s="346"/>
      <c r="AF175" s="346"/>
      <c r="AG175" s="346"/>
      <c r="AH175" s="346"/>
      <c r="AI175" s="346"/>
      <c r="AJ175" s="346"/>
      <c r="AK175" s="346"/>
    </row>
    <row r="176" spans="2:37" ht="15.95" customHeight="1" thickBot="1" x14ac:dyDescent="0.3">
      <c r="B176" s="346"/>
      <c r="C176" s="346"/>
      <c r="D176" s="346"/>
      <c r="E176" s="346"/>
      <c r="F176" s="346"/>
      <c r="G176" s="438"/>
      <c r="H176" s="439"/>
      <c r="I176" s="439"/>
      <c r="J176" s="439"/>
      <c r="K176" s="439"/>
      <c r="L176" s="439"/>
      <c r="M176" s="440"/>
      <c r="N176" s="346"/>
      <c r="O176" s="349"/>
      <c r="P176" s="346"/>
      <c r="Q176" s="346"/>
      <c r="R176" s="346"/>
      <c r="S176" s="346"/>
      <c r="T176" s="346"/>
      <c r="U176" s="346"/>
      <c r="V176" s="346"/>
      <c r="W176" s="346"/>
      <c r="X176" s="346"/>
      <c r="Y176" s="346"/>
      <c r="Z176" s="346"/>
      <c r="AA176" s="346"/>
      <c r="AB176" s="346"/>
      <c r="AC176" s="346"/>
      <c r="AD176" s="346"/>
      <c r="AE176" s="346"/>
      <c r="AF176" s="346"/>
      <c r="AG176" s="346"/>
      <c r="AH176" s="346"/>
      <c r="AI176" s="346"/>
      <c r="AJ176" s="346"/>
      <c r="AK176" s="346"/>
    </row>
    <row r="177" spans="2:37" ht="15.95" customHeight="1" x14ac:dyDescent="0.2">
      <c r="B177" s="346"/>
      <c r="C177" s="346"/>
      <c r="D177" s="346"/>
      <c r="E177" s="346"/>
      <c r="F177" s="346"/>
      <c r="G177" s="347"/>
      <c r="H177" s="347"/>
      <c r="I177" s="347"/>
      <c r="J177" s="347"/>
      <c r="K177" s="347"/>
      <c r="L177" s="347"/>
      <c r="M177" s="347"/>
      <c r="N177" s="346"/>
      <c r="O177" s="349"/>
      <c r="P177" s="346"/>
      <c r="Q177" s="346"/>
      <c r="R177" s="346"/>
      <c r="S177" s="346"/>
      <c r="T177" s="346"/>
      <c r="U177" s="346"/>
      <c r="V177" s="346"/>
      <c r="W177" s="346"/>
      <c r="X177" s="346"/>
      <c r="Y177" s="346"/>
      <c r="Z177" s="346"/>
      <c r="AA177" s="346"/>
      <c r="AB177" s="346"/>
      <c r="AC177" s="346"/>
      <c r="AD177" s="346"/>
      <c r="AE177" s="346"/>
      <c r="AF177" s="346"/>
      <c r="AG177" s="346"/>
      <c r="AH177" s="346"/>
      <c r="AI177" s="346"/>
      <c r="AJ177" s="346"/>
      <c r="AK177" s="346"/>
    </row>
    <row r="178" spans="2:37" ht="15.95" customHeight="1" thickBot="1" x14ac:dyDescent="0.25">
      <c r="B178" s="346"/>
      <c r="C178" s="346"/>
      <c r="D178" s="346"/>
      <c r="E178" s="346"/>
      <c r="F178" s="346"/>
      <c r="G178" s="347"/>
      <c r="H178" s="347"/>
      <c r="I178" s="347"/>
      <c r="J178" s="347"/>
      <c r="K178" s="347"/>
      <c r="L178" s="347"/>
      <c r="M178" s="347"/>
      <c r="N178" s="346"/>
      <c r="O178" s="346"/>
      <c r="P178" s="346"/>
      <c r="Q178" s="346"/>
      <c r="R178" s="346"/>
      <c r="S178" s="346"/>
      <c r="T178" s="346"/>
      <c r="U178" s="346"/>
      <c r="V178" s="346"/>
      <c r="W178" s="346"/>
      <c r="X178" s="346"/>
      <c r="Y178" s="346"/>
      <c r="Z178" s="346"/>
      <c r="AA178" s="346"/>
      <c r="AB178" s="346"/>
      <c r="AC178" s="346"/>
      <c r="AD178" s="346"/>
      <c r="AE178" s="346"/>
      <c r="AF178" s="346"/>
      <c r="AG178" s="346"/>
      <c r="AH178" s="346"/>
      <c r="AI178" s="346"/>
      <c r="AJ178" s="346"/>
      <c r="AK178" s="346"/>
    </row>
    <row r="179" spans="2:37" ht="15.95" customHeight="1" thickBot="1" x14ac:dyDescent="0.3">
      <c r="B179" s="346"/>
      <c r="C179" s="441" t="s">
        <v>21</v>
      </c>
      <c r="D179" s="442"/>
      <c r="E179" s="442"/>
      <c r="F179" s="442"/>
      <c r="G179" s="442"/>
      <c r="H179" s="442"/>
      <c r="I179" s="442"/>
      <c r="J179" s="442"/>
      <c r="K179" s="442"/>
      <c r="L179" s="442"/>
      <c r="M179" s="442"/>
      <c r="N179" s="442"/>
      <c r="O179" s="442"/>
      <c r="P179" s="442"/>
      <c r="Q179" s="442"/>
      <c r="R179" s="442"/>
      <c r="S179" s="443"/>
      <c r="T179" s="346"/>
      <c r="U179" s="346"/>
      <c r="V179" s="346"/>
      <c r="W179" s="346"/>
      <c r="X179" s="346"/>
      <c r="Y179" s="346"/>
      <c r="Z179" s="346"/>
      <c r="AA179" s="346"/>
      <c r="AB179" s="346"/>
      <c r="AC179" s="346"/>
      <c r="AD179" s="346"/>
      <c r="AE179" s="346"/>
      <c r="AF179" s="346"/>
      <c r="AG179" s="346"/>
      <c r="AH179" s="346"/>
      <c r="AI179" s="346"/>
      <c r="AJ179" s="346"/>
      <c r="AK179" s="346"/>
    </row>
    <row r="180" spans="2:37" ht="15.95" customHeight="1" x14ac:dyDescent="0.25">
      <c r="B180" s="346"/>
      <c r="C180" s="444" t="s">
        <v>519</v>
      </c>
      <c r="D180" s="445"/>
      <c r="E180" s="445"/>
      <c r="F180" s="445"/>
      <c r="G180" s="445"/>
      <c r="H180" s="445"/>
      <c r="I180" s="445"/>
      <c r="J180" s="445"/>
      <c r="K180" s="445"/>
      <c r="L180" s="445"/>
      <c r="M180" s="445"/>
      <c r="N180" s="445"/>
      <c r="O180" s="445"/>
      <c r="P180" s="445"/>
      <c r="Q180" s="445"/>
      <c r="R180" s="445"/>
      <c r="S180" s="446"/>
      <c r="T180" s="346"/>
      <c r="U180" s="346"/>
      <c r="V180" s="346"/>
      <c r="W180" s="346"/>
      <c r="X180" s="346"/>
      <c r="Y180" s="346"/>
      <c r="Z180" s="346"/>
      <c r="AA180" s="346"/>
      <c r="AB180" s="346"/>
      <c r="AC180" s="346"/>
      <c r="AD180" s="346"/>
      <c r="AE180" s="346"/>
      <c r="AF180" s="346"/>
      <c r="AG180" s="346"/>
      <c r="AH180" s="346"/>
      <c r="AI180" s="346"/>
      <c r="AJ180" s="346"/>
      <c r="AK180" s="346"/>
    </row>
    <row r="181" spans="2:37" ht="15.95" customHeight="1" x14ac:dyDescent="0.25">
      <c r="B181" s="346"/>
      <c r="C181" s="444"/>
      <c r="D181" s="445"/>
      <c r="E181" s="445"/>
      <c r="F181" s="445"/>
      <c r="G181" s="445"/>
      <c r="H181" s="445"/>
      <c r="I181" s="445"/>
      <c r="J181" s="445"/>
      <c r="K181" s="445"/>
      <c r="L181" s="445"/>
      <c r="M181" s="445"/>
      <c r="N181" s="445"/>
      <c r="O181" s="445"/>
      <c r="P181" s="445"/>
      <c r="Q181" s="445"/>
      <c r="R181" s="445"/>
      <c r="S181" s="446"/>
      <c r="T181" s="346"/>
      <c r="U181" s="346"/>
      <c r="V181" s="346"/>
      <c r="W181" s="346"/>
      <c r="X181" s="346"/>
      <c r="Y181" s="346"/>
      <c r="Z181" s="346"/>
      <c r="AA181" s="346"/>
      <c r="AB181" s="346"/>
      <c r="AC181" s="346"/>
      <c r="AD181" s="346"/>
      <c r="AE181" s="346"/>
      <c r="AF181" s="346"/>
      <c r="AG181" s="346"/>
      <c r="AH181" s="346"/>
      <c r="AI181" s="346"/>
      <c r="AJ181" s="346"/>
      <c r="AK181" s="346"/>
    </row>
    <row r="182" spans="2:37" ht="15.95" customHeight="1" thickBot="1" x14ac:dyDescent="0.25">
      <c r="B182" s="346"/>
      <c r="C182" s="347"/>
      <c r="D182" s="347"/>
      <c r="E182" s="347"/>
      <c r="F182" s="347"/>
      <c r="G182" s="347"/>
      <c r="H182" s="347"/>
      <c r="I182" s="347"/>
      <c r="J182" s="347"/>
      <c r="K182" s="347"/>
      <c r="L182" s="347"/>
      <c r="M182" s="347"/>
      <c r="N182" s="347"/>
      <c r="O182" s="347"/>
      <c r="P182" s="347"/>
      <c r="Q182" s="347"/>
      <c r="R182" s="347"/>
      <c r="S182" s="347"/>
      <c r="T182" s="346"/>
      <c r="U182" s="346"/>
      <c r="V182" s="346"/>
      <c r="W182" s="349"/>
      <c r="X182" s="346"/>
      <c r="Y182" s="346"/>
      <c r="Z182" s="346"/>
      <c r="AA182" s="346"/>
      <c r="AB182" s="346"/>
      <c r="AC182" s="346"/>
      <c r="AD182" s="346"/>
      <c r="AE182" s="346"/>
      <c r="AF182" s="346"/>
      <c r="AG182" s="346"/>
      <c r="AH182" s="346"/>
      <c r="AI182" s="346"/>
      <c r="AJ182" s="346"/>
      <c r="AK182" s="346"/>
    </row>
    <row r="183" spans="2:37" ht="15.95" customHeight="1" thickBot="1" x14ac:dyDescent="0.25">
      <c r="B183" s="346"/>
      <c r="C183" s="347"/>
      <c r="D183" s="347"/>
      <c r="E183" s="347"/>
      <c r="F183" s="347"/>
      <c r="G183" s="347"/>
      <c r="H183" s="347"/>
      <c r="I183" s="347"/>
      <c r="J183" s="347"/>
      <c r="K183" s="347"/>
      <c r="L183" s="347"/>
      <c r="M183" s="347"/>
      <c r="N183" s="347"/>
      <c r="O183" s="347"/>
      <c r="P183" s="347"/>
      <c r="Q183" s="347"/>
      <c r="R183" s="347"/>
      <c r="S183" s="347"/>
      <c r="T183" s="346"/>
      <c r="U183" s="346"/>
      <c r="V183" s="346"/>
      <c r="W183" s="349"/>
      <c r="X183" s="346"/>
      <c r="Y183" s="346"/>
      <c r="Z183" s="346"/>
      <c r="AA183" s="441" t="s">
        <v>23</v>
      </c>
      <c r="AB183" s="442"/>
      <c r="AC183" s="442"/>
      <c r="AD183" s="442"/>
      <c r="AE183" s="442"/>
      <c r="AF183" s="442"/>
      <c r="AG183" s="442"/>
      <c r="AH183" s="442"/>
      <c r="AI183" s="442"/>
      <c r="AJ183" s="442"/>
      <c r="AK183" s="442"/>
    </row>
    <row r="184" spans="2:37" ht="15.95" customHeight="1" x14ac:dyDescent="0.2">
      <c r="B184" s="346"/>
      <c r="C184" s="347"/>
      <c r="D184" s="347"/>
      <c r="E184" s="347"/>
      <c r="F184" s="347"/>
      <c r="G184" s="347"/>
      <c r="H184" s="347"/>
      <c r="I184" s="347"/>
      <c r="J184" s="347"/>
      <c r="K184" s="347"/>
      <c r="L184" s="347"/>
      <c r="M184" s="347"/>
      <c r="N184" s="347"/>
      <c r="O184" s="347"/>
      <c r="P184" s="347"/>
      <c r="Q184" s="347"/>
      <c r="R184" s="347"/>
      <c r="S184" s="347"/>
      <c r="T184" s="350"/>
      <c r="U184" s="349"/>
      <c r="V184" s="349"/>
      <c r="W184" s="349"/>
      <c r="X184" s="346"/>
      <c r="Y184" s="346"/>
      <c r="Z184" s="346"/>
      <c r="AA184" s="447" t="s">
        <v>30</v>
      </c>
      <c r="AB184" s="448"/>
      <c r="AC184" s="349"/>
      <c r="AD184" s="447" t="s">
        <v>520</v>
      </c>
      <c r="AE184" s="451"/>
      <c r="AF184" s="451"/>
      <c r="AG184" s="448"/>
      <c r="AH184" s="346"/>
      <c r="AI184" s="453" t="s">
        <v>32</v>
      </c>
      <c r="AJ184" s="454"/>
      <c r="AK184" s="455"/>
    </row>
    <row r="185" spans="2:37" ht="15.95" customHeight="1" x14ac:dyDescent="0.25">
      <c r="B185" s="346"/>
      <c r="C185" s="459"/>
      <c r="D185" s="459"/>
      <c r="E185" s="459"/>
      <c r="F185" s="459"/>
      <c r="G185" s="459"/>
      <c r="H185" s="459"/>
      <c r="I185" s="459"/>
      <c r="J185" s="459"/>
      <c r="K185" s="459"/>
      <c r="L185" s="459"/>
      <c r="M185" s="459"/>
      <c r="N185" s="459"/>
      <c r="O185" s="459"/>
      <c r="P185" s="459"/>
      <c r="Q185" s="459"/>
      <c r="R185" s="459"/>
      <c r="S185" s="459"/>
      <c r="T185" s="350"/>
      <c r="U185" s="349"/>
      <c r="V185" s="349"/>
      <c r="W185" s="349"/>
      <c r="X185" s="346"/>
      <c r="Y185" s="346"/>
      <c r="Z185" s="346"/>
      <c r="AA185" s="447"/>
      <c r="AB185" s="448"/>
      <c r="AC185" s="349"/>
      <c r="AD185" s="447"/>
      <c r="AE185" s="451"/>
      <c r="AF185" s="451"/>
      <c r="AG185" s="448"/>
      <c r="AH185" s="346"/>
      <c r="AI185" s="453"/>
      <c r="AJ185" s="454"/>
      <c r="AK185" s="455"/>
    </row>
    <row r="186" spans="2:37" ht="15.95" customHeight="1" thickBot="1" x14ac:dyDescent="0.3">
      <c r="B186" s="346"/>
      <c r="C186" s="351"/>
      <c r="D186" s="351"/>
      <c r="E186" s="351"/>
      <c r="F186" s="351"/>
      <c r="G186" s="351"/>
      <c r="H186" s="352"/>
      <c r="I186" s="352"/>
      <c r="J186" s="351"/>
      <c r="K186" s="351"/>
      <c r="L186" s="351"/>
      <c r="M186" s="351"/>
      <c r="N186" s="351"/>
      <c r="O186" s="351"/>
      <c r="P186" s="351"/>
      <c r="Q186" s="351"/>
      <c r="R186" s="351"/>
      <c r="S186" s="351"/>
      <c r="T186" s="346"/>
      <c r="U186" s="349"/>
      <c r="V186" s="349"/>
      <c r="W186" s="349"/>
      <c r="X186" s="346"/>
      <c r="Y186" s="346"/>
      <c r="Z186" s="346"/>
      <c r="AA186" s="449"/>
      <c r="AB186" s="450"/>
      <c r="AC186" s="349"/>
      <c r="AD186" s="449"/>
      <c r="AE186" s="452"/>
      <c r="AF186" s="452"/>
      <c r="AG186" s="450"/>
      <c r="AH186" s="346"/>
      <c r="AI186" s="456"/>
      <c r="AJ186" s="457"/>
      <c r="AK186" s="458"/>
    </row>
    <row r="187" spans="2:37" ht="15.95" customHeight="1" x14ac:dyDescent="0.25">
      <c r="B187" s="346"/>
      <c r="C187" s="412" t="s">
        <v>521</v>
      </c>
      <c r="D187" s="413"/>
      <c r="E187" s="416" t="s">
        <v>522</v>
      </c>
      <c r="F187" s="417"/>
      <c r="G187" s="417"/>
      <c r="H187" s="417"/>
      <c r="I187" s="417"/>
      <c r="J187" s="417"/>
      <c r="K187" s="417"/>
      <c r="L187" s="417"/>
      <c r="M187" s="417"/>
      <c r="N187" s="417"/>
      <c r="O187" s="417"/>
      <c r="P187" s="417"/>
      <c r="Q187" s="417"/>
      <c r="R187" s="417"/>
      <c r="S187" s="418"/>
      <c r="T187" s="346"/>
      <c r="U187" s="349"/>
      <c r="V187" s="349"/>
      <c r="W187" s="346"/>
      <c r="X187" s="346"/>
      <c r="Y187" s="346"/>
      <c r="Z187" s="346"/>
      <c r="AA187" s="346"/>
      <c r="AB187" s="346"/>
      <c r="AC187" s="346"/>
      <c r="AD187" s="346"/>
      <c r="AE187" s="346"/>
      <c r="AF187" s="346"/>
      <c r="AG187" s="346"/>
      <c r="AH187" s="346"/>
      <c r="AI187" s="346"/>
      <c r="AJ187" s="346"/>
      <c r="AK187" s="346"/>
    </row>
    <row r="188" spans="2:37" ht="15.95" customHeight="1" thickBot="1" x14ac:dyDescent="0.3">
      <c r="B188" s="346"/>
      <c r="C188" s="414"/>
      <c r="D188" s="415"/>
      <c r="E188" s="419"/>
      <c r="F188" s="420"/>
      <c r="G188" s="420"/>
      <c r="H188" s="420"/>
      <c r="I188" s="420"/>
      <c r="J188" s="420"/>
      <c r="K188" s="420"/>
      <c r="L188" s="420"/>
      <c r="M188" s="420"/>
      <c r="N188" s="420"/>
      <c r="O188" s="420"/>
      <c r="P188" s="420"/>
      <c r="Q188" s="420"/>
      <c r="R188" s="420"/>
      <c r="S188" s="421"/>
      <c r="T188" s="346"/>
      <c r="U188" s="349"/>
      <c r="V188" s="349"/>
      <c r="W188" s="346"/>
      <c r="X188" s="346"/>
      <c r="Y188" s="346"/>
      <c r="Z188" s="346"/>
      <c r="AA188" s="346"/>
      <c r="AB188" s="346"/>
      <c r="AC188" s="346"/>
      <c r="AD188" s="346"/>
      <c r="AE188" s="346"/>
      <c r="AF188" s="346"/>
      <c r="AG188" s="346"/>
      <c r="AH188" s="346"/>
      <c r="AI188" s="346"/>
      <c r="AJ188" s="346"/>
      <c r="AK188" s="346"/>
    </row>
    <row r="189" spans="2:37" ht="15.95" customHeight="1" x14ac:dyDescent="0.25">
      <c r="B189" s="346"/>
      <c r="C189" s="422" t="s">
        <v>28</v>
      </c>
      <c r="D189" s="424" t="s">
        <v>471</v>
      </c>
      <c r="E189" s="422" t="s">
        <v>523</v>
      </c>
      <c r="F189" s="426" t="s">
        <v>524</v>
      </c>
      <c r="G189" s="426" t="s">
        <v>525</v>
      </c>
      <c r="H189" s="426" t="s">
        <v>526</v>
      </c>
      <c r="I189" s="426" t="s">
        <v>527</v>
      </c>
      <c r="J189" s="426" t="s">
        <v>528</v>
      </c>
      <c r="K189" s="426" t="s">
        <v>529</v>
      </c>
      <c r="L189" s="426" t="s">
        <v>530</v>
      </c>
      <c r="M189" s="428" t="s">
        <v>531</v>
      </c>
      <c r="N189" s="429"/>
      <c r="O189" s="428" t="s">
        <v>532</v>
      </c>
      <c r="P189" s="429"/>
      <c r="Q189" s="426" t="s">
        <v>533</v>
      </c>
      <c r="R189" s="426" t="s">
        <v>534</v>
      </c>
      <c r="S189" s="370"/>
      <c r="T189" s="346"/>
      <c r="U189" s="349"/>
      <c r="V189" s="349"/>
      <c r="W189" s="346"/>
      <c r="X189" s="346"/>
      <c r="Y189" s="346"/>
      <c r="Z189" s="346"/>
      <c r="AA189" s="346"/>
      <c r="AB189" s="346"/>
      <c r="AC189" s="346"/>
      <c r="AD189" s="346"/>
      <c r="AE189" s="346"/>
      <c r="AF189" s="346"/>
      <c r="AG189" s="346"/>
      <c r="AH189" s="346"/>
      <c r="AI189" s="346"/>
      <c r="AJ189" s="346"/>
      <c r="AK189" s="346"/>
    </row>
    <row r="190" spans="2:37" ht="15.95" customHeight="1" thickBot="1" x14ac:dyDescent="0.3">
      <c r="B190" s="346"/>
      <c r="C190" s="423"/>
      <c r="D190" s="425"/>
      <c r="E190" s="423"/>
      <c r="F190" s="427"/>
      <c r="G190" s="427"/>
      <c r="H190" s="427"/>
      <c r="I190" s="427"/>
      <c r="J190" s="427"/>
      <c r="K190" s="427"/>
      <c r="L190" s="427"/>
      <c r="M190" s="430"/>
      <c r="N190" s="431"/>
      <c r="O190" s="430"/>
      <c r="P190" s="431"/>
      <c r="Q190" s="427"/>
      <c r="R190" s="427"/>
      <c r="S190" s="370"/>
      <c r="T190" s="346"/>
      <c r="U190" s="349"/>
      <c r="V190" s="349"/>
      <c r="W190" s="346"/>
      <c r="X190" s="346"/>
      <c r="Y190" s="346"/>
      <c r="Z190" s="346"/>
      <c r="AA190" s="346"/>
      <c r="AB190" s="346"/>
      <c r="AC190" s="346"/>
      <c r="AD190" s="346"/>
      <c r="AE190" s="346"/>
      <c r="AF190" s="346"/>
      <c r="AG190" s="346"/>
      <c r="AH190" s="346"/>
      <c r="AI190" s="346"/>
      <c r="AJ190" s="346"/>
      <c r="AK190" s="346"/>
    </row>
    <row r="191" spans="2:37" ht="15.95" customHeight="1" x14ac:dyDescent="0.2">
      <c r="B191" s="346"/>
      <c r="C191" s="353"/>
      <c r="D191" s="347"/>
      <c r="E191" s="347"/>
      <c r="F191" s="347"/>
      <c r="G191" s="347"/>
      <c r="H191" s="347"/>
      <c r="I191" s="347"/>
      <c r="J191" s="347"/>
      <c r="K191" s="347"/>
      <c r="L191" s="347"/>
      <c r="M191" s="347"/>
      <c r="N191" s="347"/>
      <c r="O191" s="347"/>
      <c r="P191" s="347"/>
      <c r="Q191" s="347"/>
      <c r="R191" s="347"/>
      <c r="S191" s="354"/>
      <c r="T191" s="346"/>
      <c r="U191" s="349"/>
      <c r="V191" s="349"/>
      <c r="W191" s="346"/>
      <c r="X191" s="346"/>
      <c r="Y191" s="346"/>
      <c r="Z191" s="346"/>
      <c r="AA191" s="346"/>
      <c r="AB191" s="346"/>
      <c r="AC191" s="346"/>
      <c r="AD191" s="346"/>
      <c r="AE191" s="346"/>
      <c r="AF191" s="346"/>
      <c r="AG191" s="346"/>
      <c r="AH191" s="346"/>
      <c r="AI191" s="346"/>
      <c r="AJ191" s="346"/>
      <c r="AK191" s="346"/>
    </row>
    <row r="192" spans="2:37" ht="15.95" customHeight="1" x14ac:dyDescent="0.2">
      <c r="B192" s="346"/>
      <c r="C192" s="353"/>
      <c r="D192" s="347"/>
      <c r="E192" s="347"/>
      <c r="F192" s="347"/>
      <c r="G192" s="347"/>
      <c r="H192" s="347"/>
      <c r="I192" s="347"/>
      <c r="J192" s="347"/>
      <c r="K192" s="347"/>
      <c r="L192" s="347"/>
      <c r="M192" s="347"/>
      <c r="N192" s="347"/>
      <c r="O192" s="347"/>
      <c r="P192" s="347"/>
      <c r="Q192" s="347"/>
      <c r="R192" s="347"/>
      <c r="S192" s="354"/>
      <c r="T192" s="346"/>
      <c r="U192" s="349"/>
      <c r="V192" s="349"/>
      <c r="W192" s="346"/>
      <c r="X192" s="346"/>
      <c r="Y192" s="346"/>
      <c r="Z192" s="346"/>
      <c r="AA192" s="346"/>
      <c r="AB192" s="346"/>
      <c r="AC192" s="346"/>
      <c r="AD192" s="346"/>
      <c r="AE192" s="346"/>
      <c r="AF192" s="346"/>
      <c r="AG192" s="346"/>
      <c r="AH192" s="346"/>
      <c r="AI192" s="346"/>
      <c r="AJ192" s="346"/>
      <c r="AK192" s="346"/>
    </row>
    <row r="193" spans="2:37" ht="15.95" customHeight="1" thickBot="1" x14ac:dyDescent="0.3">
      <c r="B193" s="346"/>
      <c r="C193" s="355"/>
      <c r="D193" s="351"/>
      <c r="E193" s="351"/>
      <c r="F193" s="351"/>
      <c r="G193" s="351"/>
      <c r="H193" s="351"/>
      <c r="I193" s="356"/>
      <c r="J193" s="356"/>
      <c r="K193" s="356"/>
      <c r="L193" s="356"/>
      <c r="M193" s="351"/>
      <c r="N193" s="357"/>
      <c r="O193" s="357"/>
      <c r="P193" s="357"/>
      <c r="Q193" s="351"/>
      <c r="R193" s="351"/>
      <c r="S193" s="358"/>
      <c r="T193" s="346"/>
      <c r="U193" s="346"/>
      <c r="V193" s="346"/>
      <c r="W193" s="346"/>
      <c r="X193" s="346"/>
      <c r="Y193" s="346"/>
      <c r="Z193" s="346"/>
      <c r="AA193" s="346"/>
      <c r="AB193" s="346"/>
      <c r="AC193" s="346"/>
      <c r="AD193" s="346"/>
      <c r="AE193" s="346"/>
      <c r="AF193" s="346"/>
      <c r="AG193" s="346"/>
      <c r="AH193" s="346"/>
      <c r="AI193" s="346"/>
      <c r="AJ193" s="346"/>
      <c r="AK193" s="346"/>
    </row>
    <row r="194" spans="2:37" ht="15.95" customHeight="1" x14ac:dyDescent="0.25">
      <c r="B194" s="346"/>
      <c r="C194" s="397" t="s">
        <v>535</v>
      </c>
      <c r="D194" s="398"/>
      <c r="E194" s="398"/>
      <c r="F194" s="398"/>
      <c r="G194" s="398"/>
      <c r="H194" s="398"/>
      <c r="I194" s="398"/>
      <c r="J194" s="398"/>
      <c r="K194" s="398"/>
      <c r="L194" s="398"/>
      <c r="M194" s="398"/>
      <c r="N194" s="398"/>
      <c r="O194" s="398"/>
      <c r="P194" s="398"/>
      <c r="Q194" s="398"/>
      <c r="R194" s="398"/>
      <c r="S194" s="399"/>
      <c r="T194" s="346"/>
      <c r="U194" s="346"/>
      <c r="V194" s="346"/>
      <c r="W194" s="346"/>
      <c r="X194" s="346"/>
      <c r="Y194" s="346"/>
      <c r="Z194" s="346"/>
      <c r="AA194" s="346"/>
      <c r="AB194" s="346"/>
      <c r="AC194" s="346"/>
      <c r="AD194" s="346"/>
      <c r="AE194" s="346"/>
      <c r="AF194" s="346"/>
      <c r="AG194" s="346"/>
      <c r="AH194" s="346"/>
      <c r="AI194" s="346"/>
      <c r="AJ194" s="346"/>
      <c r="AK194" s="346"/>
    </row>
    <row r="195" spans="2:37" ht="15.95" customHeight="1" thickBot="1" x14ac:dyDescent="0.3">
      <c r="B195" s="346"/>
      <c r="C195" s="400"/>
      <c r="D195" s="401"/>
      <c r="E195" s="401"/>
      <c r="F195" s="401"/>
      <c r="G195" s="401"/>
      <c r="H195" s="401"/>
      <c r="I195" s="401"/>
      <c r="J195" s="401"/>
      <c r="K195" s="401"/>
      <c r="L195" s="401"/>
      <c r="M195" s="401"/>
      <c r="N195" s="401"/>
      <c r="O195" s="401"/>
      <c r="P195" s="401"/>
      <c r="Q195" s="401"/>
      <c r="R195" s="401"/>
      <c r="S195" s="402"/>
      <c r="T195" s="346"/>
      <c r="U195" s="346"/>
      <c r="V195" s="346"/>
      <c r="W195" s="346"/>
      <c r="X195" s="346"/>
      <c r="Y195" s="346"/>
      <c r="Z195" s="346"/>
      <c r="AA195" s="346"/>
      <c r="AB195" s="346"/>
      <c r="AC195" s="346"/>
      <c r="AD195" s="346"/>
      <c r="AE195" s="346"/>
      <c r="AF195" s="346"/>
      <c r="AG195" s="346"/>
      <c r="AH195" s="346"/>
      <c r="AI195" s="346"/>
      <c r="AJ195" s="346"/>
      <c r="AK195" s="346"/>
    </row>
    <row r="196" spans="2:37" ht="15.95" customHeight="1" x14ac:dyDescent="0.25">
      <c r="B196" s="346"/>
      <c r="C196" s="359"/>
      <c r="D196" s="359"/>
      <c r="E196" s="359"/>
      <c r="F196" s="359"/>
      <c r="G196" s="359"/>
      <c r="H196" s="359"/>
      <c r="I196" s="359"/>
      <c r="J196" s="359"/>
      <c r="K196" s="359"/>
      <c r="L196" s="359"/>
      <c r="M196" s="359"/>
      <c r="N196" s="359"/>
      <c r="O196" s="359"/>
      <c r="P196" s="359"/>
      <c r="Q196" s="359"/>
      <c r="R196" s="359"/>
      <c r="S196" s="359"/>
      <c r="T196" s="346"/>
      <c r="U196" s="346"/>
      <c r="V196" s="346"/>
      <c r="W196" s="346"/>
      <c r="X196" s="346"/>
      <c r="Y196" s="346"/>
      <c r="Z196" s="346"/>
      <c r="AA196" s="346"/>
      <c r="AB196" s="346"/>
      <c r="AC196" s="346"/>
      <c r="AD196" s="346"/>
      <c r="AE196" s="346"/>
      <c r="AF196" s="346"/>
      <c r="AG196" s="346"/>
      <c r="AH196" s="346"/>
      <c r="AI196" s="346"/>
      <c r="AJ196" s="346"/>
      <c r="AK196" s="346"/>
    </row>
    <row r="197" spans="2:37" ht="15.95" customHeight="1" thickBot="1" x14ac:dyDescent="0.3">
      <c r="B197" s="346"/>
      <c r="C197" s="346"/>
      <c r="D197" s="346"/>
      <c r="E197" s="346"/>
      <c r="F197" s="346"/>
      <c r="G197" s="346"/>
      <c r="H197" s="346"/>
      <c r="I197" s="346"/>
      <c r="J197" s="346"/>
      <c r="K197" s="346"/>
      <c r="L197" s="346"/>
      <c r="M197" s="346"/>
      <c r="N197" s="346"/>
      <c r="O197" s="346"/>
      <c r="P197" s="346"/>
      <c r="Q197" s="346"/>
      <c r="R197" s="346"/>
      <c r="S197" s="346"/>
      <c r="T197" s="360"/>
      <c r="U197" s="346"/>
      <c r="V197" s="346"/>
      <c r="W197" s="346"/>
      <c r="X197" s="346"/>
      <c r="Y197" s="346"/>
      <c r="Z197" s="346"/>
      <c r="AA197" s="346"/>
      <c r="AB197" s="346"/>
      <c r="AC197" s="346"/>
      <c r="AD197" s="346"/>
      <c r="AE197" s="346"/>
      <c r="AF197" s="346"/>
      <c r="AG197" s="346"/>
      <c r="AH197" s="346"/>
      <c r="AI197" s="346"/>
      <c r="AJ197" s="346"/>
      <c r="AK197" s="346"/>
    </row>
    <row r="198" spans="2:37" ht="15.95" customHeight="1" thickBot="1" x14ac:dyDescent="0.3">
      <c r="B198" s="346"/>
      <c r="C198" s="403" t="s">
        <v>35</v>
      </c>
      <c r="D198" s="404"/>
      <c r="E198" s="404"/>
      <c r="F198" s="404"/>
      <c r="G198" s="404"/>
      <c r="H198" s="404"/>
      <c r="I198" s="404"/>
      <c r="J198" s="404"/>
      <c r="K198" s="404"/>
      <c r="L198" s="404"/>
      <c r="M198" s="404"/>
      <c r="N198" s="404"/>
      <c r="O198" s="404"/>
      <c r="P198" s="404"/>
      <c r="Q198" s="404"/>
      <c r="R198" s="404"/>
      <c r="S198" s="405"/>
      <c r="T198" s="361"/>
      <c r="U198" s="346"/>
      <c r="V198" s="346"/>
      <c r="W198" s="346"/>
      <c r="X198" s="346"/>
      <c r="Y198" s="346"/>
      <c r="Z198" s="346"/>
      <c r="AA198" s="346"/>
      <c r="AB198" s="346"/>
      <c r="AC198" s="346"/>
      <c r="AD198" s="346"/>
      <c r="AE198" s="346"/>
      <c r="AF198" s="346"/>
      <c r="AG198" s="346"/>
      <c r="AH198" s="346"/>
      <c r="AI198" s="346"/>
      <c r="AJ198" s="346"/>
      <c r="AK198" s="346"/>
    </row>
    <row r="199" spans="2:37" ht="15.95" customHeight="1" x14ac:dyDescent="0.25">
      <c r="B199" s="346"/>
      <c r="C199" s="362"/>
      <c r="D199" s="363"/>
      <c r="E199" s="363"/>
      <c r="F199" s="363"/>
      <c r="G199" s="363"/>
      <c r="H199" s="363"/>
      <c r="I199" s="363"/>
      <c r="J199" s="363"/>
      <c r="K199" s="363"/>
      <c r="L199" s="363"/>
      <c r="M199" s="363"/>
      <c r="N199" s="363"/>
      <c r="O199" s="363"/>
      <c r="P199" s="363"/>
      <c r="Q199" s="363"/>
      <c r="R199" s="363"/>
      <c r="S199" s="364"/>
      <c r="T199" s="360"/>
      <c r="U199" s="361"/>
      <c r="V199" s="346"/>
      <c r="W199" s="346"/>
      <c r="X199" s="346"/>
      <c r="Y199" s="346"/>
      <c r="Z199" s="346"/>
      <c r="AA199" s="346"/>
      <c r="AB199" s="346"/>
      <c r="AC199" s="346"/>
      <c r="AD199" s="346"/>
      <c r="AE199" s="346"/>
      <c r="AF199" s="346"/>
      <c r="AG199" s="346"/>
      <c r="AH199" s="346"/>
      <c r="AI199" s="346"/>
      <c r="AJ199" s="346"/>
      <c r="AK199" s="346"/>
    </row>
    <row r="200" spans="2:37" ht="15.95" customHeight="1" x14ac:dyDescent="0.25">
      <c r="B200" s="346"/>
      <c r="C200" s="406" t="s">
        <v>509</v>
      </c>
      <c r="D200" s="407"/>
      <c r="E200" s="393" t="s">
        <v>507</v>
      </c>
      <c r="F200" s="394"/>
      <c r="G200" s="393" t="s">
        <v>510</v>
      </c>
      <c r="H200" s="388"/>
      <c r="I200" s="388"/>
      <c r="J200" s="394"/>
      <c r="K200" s="410" t="s">
        <v>508</v>
      </c>
      <c r="L200" s="393" t="s">
        <v>506</v>
      </c>
      <c r="M200" s="388"/>
      <c r="N200" s="410" t="s">
        <v>511</v>
      </c>
      <c r="O200" s="393" t="s">
        <v>536</v>
      </c>
      <c r="P200" s="388"/>
      <c r="Q200" s="388"/>
      <c r="R200" s="388"/>
      <c r="S200" s="389"/>
      <c r="T200" s="360"/>
      <c r="U200" s="360"/>
      <c r="V200" s="346"/>
      <c r="W200" s="346"/>
      <c r="X200" s="346"/>
      <c r="Y200" s="346"/>
      <c r="Z200" s="346"/>
      <c r="AA200" s="346"/>
      <c r="AB200" s="346"/>
      <c r="AC200" s="346"/>
      <c r="AD200" s="346"/>
      <c r="AE200" s="346"/>
      <c r="AF200" s="346"/>
      <c r="AG200" s="346"/>
      <c r="AH200" s="346"/>
      <c r="AI200" s="346"/>
      <c r="AJ200" s="346"/>
      <c r="AK200" s="346"/>
    </row>
    <row r="201" spans="2:37" ht="15.95" customHeight="1" x14ac:dyDescent="0.25">
      <c r="B201" s="346"/>
      <c r="C201" s="408"/>
      <c r="D201" s="409"/>
      <c r="E201" s="395"/>
      <c r="F201" s="396"/>
      <c r="G201" s="395"/>
      <c r="H201" s="391"/>
      <c r="I201" s="391"/>
      <c r="J201" s="396"/>
      <c r="K201" s="411"/>
      <c r="L201" s="395"/>
      <c r="M201" s="391"/>
      <c r="N201" s="411"/>
      <c r="O201" s="395"/>
      <c r="P201" s="391"/>
      <c r="Q201" s="391"/>
      <c r="R201" s="391"/>
      <c r="S201" s="392"/>
      <c r="T201" s="360"/>
      <c r="U201" s="360"/>
      <c r="V201" s="346"/>
      <c r="W201" s="346"/>
      <c r="X201" s="346"/>
      <c r="Y201" s="346"/>
      <c r="Z201" s="346"/>
      <c r="AA201" s="346"/>
      <c r="AB201" s="346"/>
      <c r="AC201" s="346"/>
      <c r="AD201" s="346"/>
      <c r="AE201" s="346"/>
      <c r="AF201" s="346"/>
      <c r="AG201" s="346"/>
      <c r="AH201" s="346"/>
      <c r="AI201" s="346"/>
      <c r="AJ201" s="346"/>
      <c r="AK201" s="346"/>
    </row>
    <row r="202" spans="2:37" ht="15.95" customHeight="1" thickBot="1" x14ac:dyDescent="0.3">
      <c r="B202" s="346"/>
      <c r="C202" s="355"/>
      <c r="D202" s="351"/>
      <c r="E202" s="351"/>
      <c r="F202" s="351"/>
      <c r="G202" s="351"/>
      <c r="H202" s="351"/>
      <c r="I202" s="351"/>
      <c r="J202" s="351"/>
      <c r="K202" s="351"/>
      <c r="L202" s="351"/>
      <c r="M202" s="351"/>
      <c r="N202" s="351"/>
      <c r="O202" s="351"/>
      <c r="P202" s="351"/>
      <c r="Q202" s="351"/>
      <c r="R202" s="351"/>
      <c r="S202" s="358"/>
      <c r="T202" s="360"/>
      <c r="U202" s="360"/>
      <c r="V202" s="346"/>
      <c r="W202" s="346"/>
      <c r="X202" s="346"/>
      <c r="Y202" s="346"/>
      <c r="Z202" s="346"/>
      <c r="AA202" s="346"/>
      <c r="AB202" s="346"/>
      <c r="AC202" s="346"/>
      <c r="AD202" s="346"/>
      <c r="AE202" s="346"/>
      <c r="AF202" s="346"/>
      <c r="AG202" s="346"/>
      <c r="AH202" s="346"/>
      <c r="AI202" s="346"/>
      <c r="AJ202" s="346"/>
      <c r="AK202" s="346"/>
    </row>
    <row r="203" spans="2:37" ht="15.95" customHeight="1" x14ac:dyDescent="0.25">
      <c r="B203" s="346"/>
      <c r="C203" s="346"/>
      <c r="D203" s="346"/>
      <c r="E203" s="346"/>
      <c r="F203" s="346"/>
      <c r="G203" s="346"/>
      <c r="H203" s="346"/>
      <c r="I203" s="346"/>
      <c r="J203" s="346"/>
      <c r="K203" s="346"/>
      <c r="L203" s="346"/>
      <c r="M203" s="346"/>
      <c r="N203" s="346"/>
      <c r="O203" s="346"/>
      <c r="P203" s="346"/>
      <c r="Q203" s="346"/>
      <c r="R203" s="346"/>
      <c r="S203" s="346"/>
      <c r="T203" s="360"/>
      <c r="U203" s="360"/>
      <c r="V203" s="346"/>
      <c r="W203" s="346"/>
      <c r="X203" s="346"/>
      <c r="Y203" s="346"/>
      <c r="Z203" s="346"/>
      <c r="AA203" s="346"/>
      <c r="AB203" s="346"/>
      <c r="AC203" s="346"/>
      <c r="AD203" s="346"/>
      <c r="AE203" s="346"/>
      <c r="AF203" s="346"/>
      <c r="AG203" s="346"/>
      <c r="AH203" s="346"/>
      <c r="AI203" s="346"/>
      <c r="AJ203" s="346"/>
      <c r="AK203" s="346"/>
    </row>
    <row r="204" spans="2:37" ht="15.95" customHeight="1" thickBot="1" x14ac:dyDescent="0.3">
      <c r="B204" s="346"/>
      <c r="C204" s="346"/>
      <c r="D204" s="346"/>
      <c r="E204" s="346"/>
      <c r="F204" s="346"/>
      <c r="G204" s="346"/>
      <c r="H204" s="346"/>
      <c r="I204" s="346"/>
      <c r="J204" s="346"/>
      <c r="K204" s="346"/>
      <c r="L204" s="346"/>
      <c r="M204" s="346"/>
      <c r="N204" s="346"/>
      <c r="O204" s="346"/>
      <c r="P204" s="346"/>
      <c r="Q204" s="346"/>
      <c r="R204" s="346"/>
      <c r="S204" s="346"/>
      <c r="T204" s="346"/>
      <c r="U204" s="346"/>
      <c r="V204" s="346"/>
      <c r="W204" s="346"/>
      <c r="X204" s="346"/>
      <c r="Y204" s="346"/>
      <c r="Z204" s="346"/>
      <c r="AA204" s="346"/>
      <c r="AB204" s="346"/>
      <c r="AC204" s="346"/>
      <c r="AD204" s="346"/>
      <c r="AE204" s="346"/>
      <c r="AF204" s="346"/>
      <c r="AG204" s="346"/>
      <c r="AH204" s="346"/>
      <c r="AI204" s="346"/>
      <c r="AJ204" s="346"/>
      <c r="AK204" s="346"/>
    </row>
    <row r="205" spans="2:37" ht="15.95" customHeight="1" thickBot="1" x14ac:dyDescent="0.25">
      <c r="B205" s="346"/>
      <c r="C205" s="346"/>
      <c r="D205" s="346"/>
      <c r="E205" s="346"/>
      <c r="F205" s="346"/>
      <c r="G205" s="384" t="s">
        <v>41</v>
      </c>
      <c r="H205" s="385"/>
      <c r="I205" s="385"/>
      <c r="J205" s="385"/>
      <c r="K205" s="385"/>
      <c r="L205" s="385"/>
      <c r="M205" s="386"/>
      <c r="N205" s="346"/>
      <c r="O205" s="365"/>
      <c r="P205" s="346"/>
      <c r="Q205" s="346"/>
      <c r="R205" s="346"/>
      <c r="S205" s="346"/>
      <c r="T205" s="346"/>
      <c r="U205" s="346"/>
      <c r="V205" s="346"/>
      <c r="W205" s="346"/>
      <c r="X205" s="346"/>
      <c r="Y205" s="346"/>
      <c r="Z205" s="346"/>
      <c r="AA205" s="346"/>
      <c r="AB205" s="346"/>
      <c r="AC205" s="346"/>
      <c r="AD205" s="346"/>
      <c r="AE205" s="346"/>
      <c r="AF205" s="346"/>
      <c r="AG205" s="346"/>
      <c r="AH205" s="346"/>
      <c r="AI205" s="346"/>
      <c r="AJ205" s="346"/>
      <c r="AK205" s="346"/>
    </row>
    <row r="206" spans="2:37" ht="15.95" customHeight="1" x14ac:dyDescent="0.25">
      <c r="B206" s="346"/>
      <c r="C206" s="346"/>
      <c r="D206" s="346"/>
      <c r="E206" s="346"/>
      <c r="F206" s="346"/>
      <c r="G206" s="362"/>
      <c r="H206" s="363"/>
      <c r="I206" s="363"/>
      <c r="J206" s="363"/>
      <c r="K206" s="363"/>
      <c r="L206" s="363"/>
      <c r="M206" s="364"/>
      <c r="N206" s="346"/>
      <c r="O206" s="346"/>
      <c r="P206" s="346"/>
      <c r="Q206" s="346"/>
      <c r="R206" s="346"/>
      <c r="S206" s="346"/>
      <c r="T206" s="346"/>
      <c r="U206" s="346"/>
      <c r="V206" s="346"/>
      <c r="W206" s="349"/>
      <c r="X206" s="346"/>
      <c r="Y206" s="346"/>
      <c r="Z206" s="346"/>
      <c r="AA206" s="346"/>
      <c r="AB206" s="346"/>
      <c r="AC206" s="346"/>
      <c r="AD206" s="346"/>
      <c r="AE206" s="346"/>
      <c r="AF206" s="346"/>
      <c r="AG206" s="346"/>
      <c r="AH206" s="346"/>
      <c r="AI206" s="346"/>
      <c r="AJ206" s="346"/>
      <c r="AK206" s="346"/>
    </row>
    <row r="207" spans="2:37" ht="15.95" customHeight="1" x14ac:dyDescent="0.25">
      <c r="B207" s="346"/>
      <c r="C207" s="346"/>
      <c r="D207" s="346"/>
      <c r="E207" s="346"/>
      <c r="F207" s="346"/>
      <c r="G207" s="387" t="s">
        <v>42</v>
      </c>
      <c r="H207" s="388"/>
      <c r="I207" s="388"/>
      <c r="J207" s="388"/>
      <c r="K207" s="388"/>
      <c r="L207" s="388"/>
      <c r="M207" s="389"/>
      <c r="N207" s="346"/>
      <c r="O207" s="346"/>
      <c r="P207" s="346"/>
      <c r="Q207" s="346"/>
      <c r="R207" s="346"/>
      <c r="S207" s="346"/>
      <c r="T207" s="346"/>
      <c r="U207" s="346"/>
      <c r="V207" s="346"/>
      <c r="W207" s="349"/>
      <c r="X207" s="346"/>
      <c r="Y207" s="346"/>
      <c r="Z207" s="346"/>
      <c r="AA207" s="346"/>
      <c r="AB207" s="346"/>
      <c r="AC207" s="346"/>
      <c r="AD207" s="346"/>
      <c r="AE207" s="346"/>
      <c r="AF207" s="346"/>
      <c r="AG207" s="346"/>
      <c r="AH207" s="346"/>
      <c r="AI207" s="346"/>
      <c r="AJ207" s="346"/>
      <c r="AK207" s="346"/>
    </row>
    <row r="208" spans="2:37" ht="15.95" customHeight="1" x14ac:dyDescent="0.25">
      <c r="B208" s="346"/>
      <c r="C208" s="346"/>
      <c r="D208" s="346"/>
      <c r="E208" s="346"/>
      <c r="F208" s="346"/>
      <c r="G208" s="390"/>
      <c r="H208" s="391"/>
      <c r="I208" s="391"/>
      <c r="J208" s="391"/>
      <c r="K208" s="391"/>
      <c r="L208" s="391"/>
      <c r="M208" s="392"/>
      <c r="N208" s="346"/>
      <c r="O208" s="346"/>
      <c r="P208" s="346"/>
      <c r="Q208" s="346"/>
      <c r="R208" s="366"/>
      <c r="S208" s="366"/>
      <c r="T208" s="346"/>
      <c r="U208" s="346"/>
      <c r="V208" s="346"/>
      <c r="W208" s="346"/>
      <c r="X208" s="346"/>
      <c r="Y208" s="346"/>
      <c r="Z208" s="346"/>
      <c r="AA208" s="346"/>
      <c r="AB208" s="346"/>
      <c r="AC208" s="346"/>
      <c r="AD208" s="346"/>
      <c r="AE208" s="346"/>
      <c r="AF208" s="346"/>
      <c r="AG208" s="346"/>
      <c r="AH208" s="346"/>
      <c r="AI208" s="346"/>
      <c r="AJ208" s="346"/>
      <c r="AK208" s="346"/>
    </row>
    <row r="209" spans="2:37" ht="15.95" customHeight="1" x14ac:dyDescent="0.25">
      <c r="B209" s="346"/>
      <c r="C209" s="346"/>
      <c r="D209" s="346"/>
      <c r="E209" s="346"/>
      <c r="F209" s="346"/>
      <c r="G209" s="367"/>
      <c r="H209" s="368"/>
      <c r="I209" s="368"/>
      <c r="J209" s="368"/>
      <c r="K209" s="368"/>
      <c r="L209" s="368"/>
      <c r="M209" s="369"/>
      <c r="N209" s="346"/>
      <c r="O209" s="346"/>
      <c r="P209" s="346"/>
      <c r="Q209" s="346"/>
      <c r="R209" s="366"/>
      <c r="S209" s="366"/>
      <c r="T209" s="346"/>
      <c r="U209" s="346"/>
      <c r="V209" s="346"/>
      <c r="W209" s="346"/>
      <c r="X209" s="346"/>
      <c r="Y209" s="346"/>
      <c r="Z209" s="346"/>
      <c r="AA209" s="346"/>
      <c r="AB209" s="346"/>
      <c r="AC209" s="346"/>
      <c r="AD209" s="346"/>
      <c r="AE209" s="346"/>
      <c r="AF209" s="346"/>
      <c r="AG209" s="346"/>
      <c r="AH209" s="346"/>
      <c r="AI209" s="346"/>
      <c r="AJ209" s="346"/>
      <c r="AK209" s="346"/>
    </row>
    <row r="210" spans="2:37" ht="15.95" customHeight="1" thickBot="1" x14ac:dyDescent="0.3">
      <c r="B210" s="346"/>
      <c r="C210" s="346"/>
      <c r="D210" s="346"/>
      <c r="E210" s="346"/>
      <c r="F210" s="346"/>
      <c r="G210" s="355"/>
      <c r="H210" s="351"/>
      <c r="I210" s="351"/>
      <c r="J210" s="351"/>
      <c r="K210" s="351"/>
      <c r="L210" s="351"/>
      <c r="M210" s="358"/>
      <c r="N210" s="346"/>
      <c r="O210" s="346"/>
      <c r="P210" s="346"/>
      <c r="Q210" s="346"/>
      <c r="R210" s="366"/>
      <c r="S210" s="366"/>
      <c r="T210" s="346"/>
      <c r="U210" s="346"/>
      <c r="V210" s="346"/>
      <c r="W210" s="346"/>
      <c r="X210" s="346"/>
      <c r="Y210" s="346"/>
      <c r="Z210" s="346"/>
      <c r="AA210" s="346"/>
      <c r="AB210" s="346"/>
      <c r="AC210" s="346"/>
      <c r="AD210" s="346"/>
      <c r="AE210" s="346"/>
      <c r="AF210" s="346"/>
      <c r="AG210" s="346"/>
      <c r="AH210" s="346"/>
      <c r="AI210" s="346"/>
      <c r="AJ210" s="346"/>
      <c r="AK210" s="346"/>
    </row>
    <row r="211" spans="2:37" ht="15.95" customHeight="1" x14ac:dyDescent="0.25">
      <c r="B211" s="346"/>
      <c r="C211" s="346"/>
      <c r="D211" s="346"/>
      <c r="E211" s="346"/>
      <c r="F211" s="346"/>
      <c r="G211" s="346"/>
      <c r="H211" s="346"/>
      <c r="I211" s="346"/>
      <c r="J211" s="346"/>
      <c r="K211" s="346"/>
      <c r="L211" s="346"/>
      <c r="M211" s="346"/>
      <c r="N211" s="346"/>
      <c r="O211" s="346"/>
      <c r="P211" s="346"/>
      <c r="Q211" s="346"/>
      <c r="R211" s="366"/>
      <c r="S211" s="366"/>
      <c r="T211" s="346"/>
      <c r="U211" s="346"/>
      <c r="V211" s="346"/>
      <c r="W211" s="346"/>
      <c r="X211" s="346"/>
      <c r="Y211" s="346"/>
      <c r="Z211" s="346"/>
      <c r="AA211" s="346"/>
      <c r="AB211" s="346"/>
      <c r="AC211" s="346"/>
      <c r="AD211" s="346"/>
      <c r="AE211" s="346"/>
      <c r="AF211" s="346"/>
      <c r="AG211" s="346"/>
      <c r="AH211" s="346"/>
      <c r="AI211" s="346"/>
      <c r="AJ211" s="346"/>
      <c r="AK211" s="346"/>
    </row>
    <row r="212" spans="2:37" ht="15.95" customHeight="1" x14ac:dyDescent="0.25">
      <c r="B212" s="100"/>
      <c r="E212" s="36"/>
      <c r="F212" s="36"/>
      <c r="R212" s="345"/>
      <c r="S212" s="345"/>
    </row>
    <row r="213" spans="2:37" ht="15.95" customHeight="1" x14ac:dyDescent="0.25">
      <c r="B213" s="96" t="s">
        <v>537</v>
      </c>
      <c r="C213" s="36"/>
      <c r="D213" s="36"/>
      <c r="E213" s="36"/>
      <c r="F213" s="36"/>
      <c r="G213" s="36"/>
      <c r="H213" s="36"/>
      <c r="I213" s="36"/>
      <c r="J213" s="36"/>
      <c r="K213" s="36"/>
      <c r="L213" s="36"/>
      <c r="M213" s="36"/>
      <c r="N213" s="36"/>
      <c r="O213" s="36"/>
      <c r="P213" s="36"/>
      <c r="Q213" s="36"/>
      <c r="R213" s="36"/>
      <c r="S213" s="36"/>
      <c r="T213" s="36"/>
      <c r="U213" s="36"/>
      <c r="V213" s="36"/>
    </row>
    <row r="214" spans="2:37" ht="15.95" customHeight="1" x14ac:dyDescent="0.25">
      <c r="C214"/>
      <c r="D214"/>
      <c r="E214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</row>
    <row r="215" spans="2:37" ht="15.95" customHeight="1" x14ac:dyDescent="0.25">
      <c r="B215" s="101" t="s">
        <v>538</v>
      </c>
    </row>
    <row r="232" spans="2:2" ht="15.95" customHeight="1" x14ac:dyDescent="0.25">
      <c r="B232" s="101" t="s">
        <v>21</v>
      </c>
    </row>
    <row r="258" spans="2:2" ht="15.95" customHeight="1" x14ac:dyDescent="0.25">
      <c r="B258" s="101" t="s">
        <v>35</v>
      </c>
    </row>
    <row r="269" spans="2:2" ht="15.95" customHeight="1" x14ac:dyDescent="0.25">
      <c r="B269" s="101" t="s">
        <v>539</v>
      </c>
    </row>
    <row r="287" spans="2:2" ht="15.95" customHeight="1" x14ac:dyDescent="0.25">
      <c r="B287" s="101" t="s">
        <v>41</v>
      </c>
    </row>
  </sheetData>
  <sheetProtection algorithmName="SHA-512" hashValue="C2alcDxL4rE1D4Dvs+zEZurXdLQXJuJb6KmCw1RzhN6ebbsNRZuScv6d6wsc9304IgCy/IgtaQZSBz4x5ueB1g==" saltValue="qwxpq9fqPV8yDGczRffLuw==" spinCount="100000" sheet="1" objects="1" scenarios="1"/>
  <mergeCells count="73">
    <mergeCell ref="A1:X1"/>
    <mergeCell ref="N35:Q35"/>
    <mergeCell ref="I16:O16"/>
    <mergeCell ref="W17:Y17"/>
    <mergeCell ref="E23:S23"/>
    <mergeCell ref="D25:T25"/>
    <mergeCell ref="D26:E27"/>
    <mergeCell ref="G26:H27"/>
    <mergeCell ref="J31:L32"/>
    <mergeCell ref="J34:L35"/>
    <mergeCell ref="P26:Q27"/>
    <mergeCell ref="S26:T27"/>
    <mergeCell ref="N34:Q34"/>
    <mergeCell ref="J26:K27"/>
    <mergeCell ref="M26:N27"/>
    <mergeCell ref="I17:O19"/>
    <mergeCell ref="Q47:R48"/>
    <mergeCell ref="C40:D41"/>
    <mergeCell ref="P40:Q41"/>
    <mergeCell ref="L40:M41"/>
    <mergeCell ref="I40:J41"/>
    <mergeCell ref="F40:G41"/>
    <mergeCell ref="A5:XFD6"/>
    <mergeCell ref="A160:XFD161"/>
    <mergeCell ref="G170:M170"/>
    <mergeCell ref="G172:M172"/>
    <mergeCell ref="AB26:AC28"/>
    <mergeCell ref="AE26:AH28"/>
    <mergeCell ref="AJ26:AL28"/>
    <mergeCell ref="AB25:AL25"/>
    <mergeCell ref="S48:T49"/>
    <mergeCell ref="C45:T45"/>
    <mergeCell ref="C38:T38"/>
    <mergeCell ref="S40:T41"/>
    <mergeCell ref="E47:F48"/>
    <mergeCell ref="H47:I48"/>
    <mergeCell ref="K47:L48"/>
    <mergeCell ref="N47:O48"/>
    <mergeCell ref="G173:M176"/>
    <mergeCell ref="C179:S179"/>
    <mergeCell ref="C180:S181"/>
    <mergeCell ref="AA183:AK183"/>
    <mergeCell ref="AA184:AB186"/>
    <mergeCell ref="AD184:AG186"/>
    <mergeCell ref="AI184:AK186"/>
    <mergeCell ref="C185:S185"/>
    <mergeCell ref="C187:D188"/>
    <mergeCell ref="E187:S188"/>
    <mergeCell ref="C189:C190"/>
    <mergeCell ref="D189:D190"/>
    <mergeCell ref="E189:E190"/>
    <mergeCell ref="F189:F190"/>
    <mergeCell ref="G189:G190"/>
    <mergeCell ref="H189:H190"/>
    <mergeCell ref="I189:I190"/>
    <mergeCell ref="J189:J190"/>
    <mergeCell ref="K189:K190"/>
    <mergeCell ref="L189:L190"/>
    <mergeCell ref="M189:N190"/>
    <mergeCell ref="O189:P190"/>
    <mergeCell ref="Q189:Q190"/>
    <mergeCell ref="R189:R190"/>
    <mergeCell ref="G205:M205"/>
    <mergeCell ref="G207:M208"/>
    <mergeCell ref="G200:J201"/>
    <mergeCell ref="C194:S195"/>
    <mergeCell ref="C198:S198"/>
    <mergeCell ref="C200:D201"/>
    <mergeCell ref="E200:F201"/>
    <mergeCell ref="K200:K201"/>
    <mergeCell ref="L200:M201"/>
    <mergeCell ref="N200:N201"/>
    <mergeCell ref="O200:S201"/>
  </mergeCells>
  <phoneticPr fontId="38" type="noConversion"/>
  <hyperlinks>
    <hyperlink ref="J34:K35" location="'B3'!A1" display="Fase de obra - B3" xr:uid="{6CD949AB-EDA8-49B9-B02F-230C5F6AA67D}"/>
    <hyperlink ref="C45:N45" location="'Fases do projeto '!A1" display="Descomissionamento - D" xr:uid="{DA714BD3-7D9B-4441-AE98-DA238E0B4080}"/>
    <hyperlink ref="D25:T25" location="'B1'!A1" display="Materiais: B1" xr:uid="{6FB9D0F3-FF9F-4EF0-9289-3CC5E4669A5E}"/>
    <hyperlink ref="AJ26:AK27" location="'C8'!A1" display="Reconversão - C8" xr:uid="{962D3959-1FEF-4B9F-9A79-419CFFFD85C6}"/>
    <hyperlink ref="P40:Q41" location="'C6'!A1" display="Redução das perdas na RNT: C6 " xr:uid="{F5339E2B-6B56-46A3-9660-820EA4409183}"/>
    <hyperlink ref="L40:M41" location="'C7'!A1" display="Manutenção Geral: C4" xr:uid="{67437066-7A78-4E08-9620-99F746554EDB}"/>
    <hyperlink ref="I40:J41" location="'C3'!A1" display="Avifauna (Transferência de ninhos): C3" xr:uid="{0213D669-2381-4B1A-A11D-D00BA2B1526B}"/>
    <hyperlink ref="F40:G41" location="'C2'!A1" display="Gestão da faixa de servidão - C2" xr:uid="{C556EE83-4BCF-4DDE-A373-C69BDFA1A2DF}"/>
    <hyperlink ref="C198:S198" location="Instruções!ExpC" display="Exploração/Manutenção: C" xr:uid="{A2781BFA-7E98-40EE-A112-C2E034392595}"/>
    <hyperlink ref="G205:M205" location="Instruções!D" display="Descomissionamento: D" xr:uid="{886951D8-6A02-4356-B796-75EFFEFD502A}"/>
    <hyperlink ref="C179:S179" location="Instruções!B" display="Construção: B" xr:uid="{664D8C92-69FA-4793-8182-EC3270FB9ADE}"/>
    <hyperlink ref="AI184:AJ185" location="'C8'!A1" display="Reconversão - C8" xr:uid="{9A8E1363-20CF-47BB-8CBB-31AAAE089E01}"/>
  </hyperlinks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olha3">
    <tabColor theme="9" tint="0.39997558519241921"/>
  </sheetPr>
  <dimension ref="A1:AG56"/>
  <sheetViews>
    <sheetView showGridLines="0" topLeftCell="A30" zoomScale="70" zoomScaleNormal="70" workbookViewId="0">
      <selection activeCell="N42" sqref="N42"/>
    </sheetView>
  </sheetViews>
  <sheetFormatPr defaultColWidth="25.5703125" defaultRowHeight="33.950000000000003" customHeight="1" x14ac:dyDescent="0.25"/>
  <cols>
    <col min="1" max="1" width="3.7109375" style="149" customWidth="1"/>
    <col min="2" max="2" width="27.7109375" style="149" customWidth="1"/>
    <col min="3" max="4" width="13.42578125" style="149" customWidth="1"/>
    <col min="5" max="5" width="25.28515625" style="149" customWidth="1"/>
    <col min="6" max="6" width="21.5703125" style="149" customWidth="1"/>
    <col min="7" max="7" width="17" style="149" bestFit="1" customWidth="1"/>
    <col min="8" max="8" width="24.42578125" style="149" customWidth="1"/>
    <col min="9" max="9" width="28" style="149" customWidth="1"/>
    <col min="10" max="12" width="25.5703125" style="149" customWidth="1"/>
    <col min="13" max="13" width="25.28515625" style="149" bestFit="1" customWidth="1"/>
    <col min="14" max="14" width="25.5703125" style="149" customWidth="1"/>
    <col min="15" max="16384" width="25.5703125" style="149"/>
  </cols>
  <sheetData>
    <row r="1" spans="1:24" s="200" customFormat="1" ht="33.950000000000003" customHeight="1" x14ac:dyDescent="0.25">
      <c r="A1" s="515" t="s">
        <v>0</v>
      </c>
      <c r="B1" s="514"/>
      <c r="C1" s="514"/>
      <c r="D1" s="514"/>
      <c r="E1" s="514"/>
      <c r="F1" s="514"/>
      <c r="G1" s="514"/>
      <c r="H1" s="514"/>
      <c r="I1" s="514"/>
      <c r="J1" s="514"/>
      <c r="K1" s="514"/>
      <c r="L1" s="514"/>
      <c r="M1" s="514"/>
      <c r="N1" s="514"/>
      <c r="O1" s="514"/>
      <c r="P1" s="514"/>
    </row>
    <row r="2" spans="1:24" ht="24.95" customHeight="1" x14ac:dyDescent="0.25">
      <c r="G2" s="196"/>
      <c r="H2" s="148"/>
      <c r="I2" s="148"/>
      <c r="J2" s="89"/>
    </row>
    <row r="3" spans="1:24" s="89" customFormat="1" ht="18.600000000000001" customHeight="1" x14ac:dyDescent="0.25">
      <c r="A3" s="150"/>
      <c r="B3" s="150"/>
      <c r="C3" s="150"/>
      <c r="D3" s="150"/>
      <c r="E3" s="150"/>
      <c r="F3" s="150"/>
      <c r="G3" s="150"/>
      <c r="H3" s="150"/>
      <c r="I3" s="150"/>
      <c r="J3" s="151"/>
    </row>
    <row r="4" spans="1:24" s="89" customFormat="1" ht="18.600000000000001" customHeight="1" x14ac:dyDescent="0.25">
      <c r="A4" s="150"/>
      <c r="B4" s="152" t="s">
        <v>46</v>
      </c>
      <c r="C4" s="150"/>
      <c r="D4" s="150"/>
      <c r="E4" s="150"/>
      <c r="F4" s="150"/>
      <c r="G4" s="150"/>
      <c r="H4" s="150"/>
      <c r="I4" s="150"/>
      <c r="J4" s="151"/>
    </row>
    <row r="5" spans="1:24" s="89" customFormat="1" ht="18.600000000000001" customHeight="1" x14ac:dyDescent="0.25">
      <c r="A5" s="150"/>
      <c r="B5" s="153"/>
      <c r="C5" s="150"/>
      <c r="D5" s="150"/>
      <c r="E5" s="150"/>
      <c r="F5" s="150"/>
      <c r="G5" s="150"/>
      <c r="H5" s="150"/>
      <c r="I5" s="150"/>
      <c r="J5" s="151"/>
    </row>
    <row r="6" spans="1:24" ht="50.1" customHeight="1" x14ac:dyDescent="0.25">
      <c r="B6" s="154" t="s">
        <v>47</v>
      </c>
      <c r="C6" s="524" t="s">
        <v>551</v>
      </c>
      <c r="D6" s="521"/>
      <c r="E6" s="521"/>
      <c r="F6" s="521"/>
      <c r="G6" s="521"/>
      <c r="H6" s="521"/>
      <c r="I6" s="525"/>
      <c r="J6" s="155"/>
    </row>
    <row r="7" spans="1:24" ht="50.1" customHeight="1" x14ac:dyDescent="0.25">
      <c r="G7" s="156"/>
      <c r="H7" s="156"/>
      <c r="I7" s="156"/>
    </row>
    <row r="8" spans="1:24" ht="50.1" customHeight="1" x14ac:dyDescent="0.25">
      <c r="B8" s="516" t="s">
        <v>48</v>
      </c>
      <c r="C8" s="157" t="s">
        <v>49</v>
      </c>
      <c r="D8" s="157" t="s">
        <v>50</v>
      </c>
      <c r="E8" s="157" t="s">
        <v>51</v>
      </c>
      <c r="G8" s="156"/>
      <c r="H8" s="156"/>
      <c r="I8" s="156"/>
    </row>
    <row r="9" spans="1:24" ht="50.1" customHeight="1" x14ac:dyDescent="0.25">
      <c r="B9" s="518"/>
      <c r="C9" s="90">
        <v>400</v>
      </c>
      <c r="D9" s="90">
        <f>149.9+0.96+0.9</f>
        <v>151.76000000000002</v>
      </c>
      <c r="E9" s="90">
        <v>351</v>
      </c>
      <c r="G9" s="156"/>
      <c r="H9" s="156"/>
      <c r="I9" s="156"/>
    </row>
    <row r="10" spans="1:24" ht="50.1" customHeight="1" x14ac:dyDescent="0.25">
      <c r="E10" s="159"/>
    </row>
    <row r="11" spans="1:24" ht="50.1" customHeight="1" x14ac:dyDescent="0.25">
      <c r="D11" s="520" t="s">
        <v>52</v>
      </c>
      <c r="E11" s="521"/>
      <c r="F11" s="521"/>
      <c r="G11" s="521"/>
      <c r="H11" s="521"/>
      <c r="I11" s="521"/>
      <c r="J11" s="521"/>
      <c r="K11" s="521"/>
      <c r="L11" s="521"/>
      <c r="M11" s="521"/>
      <c r="N11" s="521"/>
      <c r="O11" s="521"/>
      <c r="P11" s="521"/>
      <c r="Q11" s="521"/>
      <c r="R11" s="521"/>
      <c r="S11" s="521"/>
      <c r="T11" s="521"/>
      <c r="U11" s="521"/>
      <c r="V11" s="521"/>
      <c r="W11" s="521"/>
      <c r="X11" s="521"/>
    </row>
    <row r="12" spans="1:24" s="160" customFormat="1" ht="50.1" customHeight="1" x14ac:dyDescent="0.25">
      <c r="B12" s="516" t="s">
        <v>53</v>
      </c>
      <c r="C12" s="161" t="s">
        <v>54</v>
      </c>
      <c r="D12" s="157" t="s">
        <v>55</v>
      </c>
      <c r="E12" s="157" t="s">
        <v>56</v>
      </c>
      <c r="F12" s="157" t="s">
        <v>57</v>
      </c>
      <c r="G12" s="157" t="s">
        <v>58</v>
      </c>
      <c r="H12" s="157" t="s">
        <v>59</v>
      </c>
      <c r="I12" s="157" t="s">
        <v>60</v>
      </c>
      <c r="J12" s="157" t="s">
        <v>61</v>
      </c>
      <c r="K12" s="157" t="s">
        <v>62</v>
      </c>
      <c r="L12" s="157" t="s">
        <v>63</v>
      </c>
      <c r="M12" s="157" t="s">
        <v>64</v>
      </c>
      <c r="N12" s="157" t="s">
        <v>65</v>
      </c>
      <c r="O12" s="157" t="s">
        <v>66</v>
      </c>
      <c r="P12" s="157" t="s">
        <v>67</v>
      </c>
      <c r="Q12" s="157" t="s">
        <v>68</v>
      </c>
      <c r="R12" s="157" t="s">
        <v>69</v>
      </c>
      <c r="S12" s="157" t="s">
        <v>70</v>
      </c>
      <c r="T12" s="157" t="s">
        <v>71</v>
      </c>
      <c r="U12" s="157" t="s">
        <v>72</v>
      </c>
      <c r="V12" s="157" t="s">
        <v>73</v>
      </c>
      <c r="W12" s="157" t="s">
        <v>74</v>
      </c>
      <c r="X12" s="157" t="s">
        <v>75</v>
      </c>
    </row>
    <row r="13" spans="1:24" ht="50.1" customHeight="1" x14ac:dyDescent="0.25">
      <c r="B13" s="517"/>
      <c r="C13" s="90">
        <v>564.19445461895691</v>
      </c>
      <c r="D13" s="172">
        <v>5.2153005700298429</v>
      </c>
      <c r="E13" s="173"/>
      <c r="F13" s="173"/>
      <c r="G13" s="173"/>
      <c r="H13" s="173"/>
      <c r="I13" s="173"/>
      <c r="J13" s="173"/>
      <c r="K13" s="173">
        <v>9.8867444520808192</v>
      </c>
      <c r="L13" s="173"/>
      <c r="M13" s="173">
        <v>0.14314824677748594</v>
      </c>
      <c r="N13" s="173">
        <v>0.9728759949365261</v>
      </c>
      <c r="O13" s="173">
        <v>379.15027458980245</v>
      </c>
      <c r="P13" s="173">
        <v>1.8583519620830571</v>
      </c>
      <c r="Q13" s="173">
        <v>29.237942494689435</v>
      </c>
      <c r="R13" s="173">
        <v>152.83186133066798</v>
      </c>
      <c r="S13" s="173"/>
      <c r="T13" s="173"/>
      <c r="U13" s="173">
        <v>83.742400745545254</v>
      </c>
      <c r="V13" s="173"/>
      <c r="W13" s="173"/>
      <c r="X13" s="173"/>
    </row>
    <row r="14" spans="1:24" ht="50.1" customHeight="1" x14ac:dyDescent="0.25">
      <c r="B14" s="517"/>
      <c r="C14" s="158" t="s">
        <v>76</v>
      </c>
      <c r="D14" s="158" t="s">
        <v>77</v>
      </c>
      <c r="E14" s="162"/>
      <c r="F14" s="162"/>
      <c r="G14" s="162"/>
      <c r="H14" s="162"/>
      <c r="I14" s="162"/>
    </row>
    <row r="15" spans="1:24" ht="50.1" customHeight="1" x14ac:dyDescent="0.25">
      <c r="B15" s="518"/>
      <c r="C15" s="172">
        <f>SUM($D$13:$X$13)</f>
        <v>663.03890038661291</v>
      </c>
      <c r="D15" s="172">
        <v>50</v>
      </c>
      <c r="E15" s="162"/>
      <c r="F15" s="162"/>
      <c r="G15" s="162"/>
      <c r="H15" s="162"/>
      <c r="I15" s="162"/>
    </row>
    <row r="16" spans="1:24" ht="50.1" customHeight="1" x14ac:dyDescent="0.25">
      <c r="B16" s="162"/>
      <c r="C16" s="163"/>
      <c r="D16" s="163"/>
      <c r="E16" s="163"/>
      <c r="F16" s="163"/>
      <c r="G16" s="163"/>
      <c r="H16" s="163"/>
      <c r="I16" s="163"/>
    </row>
    <row r="17" spans="2:27" ht="50.1" customHeight="1" x14ac:dyDescent="0.25">
      <c r="B17" s="516" t="s">
        <v>400</v>
      </c>
      <c r="C17" s="157" t="s">
        <v>78</v>
      </c>
      <c r="D17" s="157" t="s">
        <v>79</v>
      </c>
      <c r="E17" s="157" t="s">
        <v>80</v>
      </c>
      <c r="F17" s="157" t="s">
        <v>81</v>
      </c>
      <c r="G17" s="157" t="s">
        <v>82</v>
      </c>
      <c r="H17" s="157" t="s">
        <v>83</v>
      </c>
      <c r="I17" s="157" t="s">
        <v>84</v>
      </c>
      <c r="J17" s="164"/>
      <c r="K17" s="164"/>
    </row>
    <row r="18" spans="2:27" ht="50.1" customHeight="1" x14ac:dyDescent="0.25">
      <c r="B18" s="519"/>
      <c r="C18" s="90">
        <f>(8157.148+341.108)+(36.179)</f>
        <v>8534.4349999999995</v>
      </c>
      <c r="D18" s="90">
        <f>1805.4+9.6</f>
        <v>1815</v>
      </c>
      <c r="E18" s="90">
        <f>156.6+0</f>
        <v>156.6</v>
      </c>
      <c r="F18" s="90">
        <f>163+3.3</f>
        <v>166.3</v>
      </c>
      <c r="G18" s="90">
        <f>(1104+2028+6)+(12+48)</f>
        <v>3198</v>
      </c>
      <c r="H18" s="90">
        <f>(12792.98+52.52)*2.4</f>
        <v>30829.199999999997</v>
      </c>
      <c r="I18" s="90">
        <f>750.62+2.36</f>
        <v>752.98</v>
      </c>
    </row>
    <row r="19" spans="2:27" ht="50.1" customHeight="1" x14ac:dyDescent="0.25">
      <c r="B19" s="343"/>
      <c r="C19" s="89"/>
      <c r="D19" s="89"/>
      <c r="E19" s="89"/>
      <c r="F19" s="89"/>
      <c r="G19" s="89"/>
      <c r="H19" s="89"/>
      <c r="I19" s="89"/>
      <c r="J19" s="89"/>
    </row>
    <row r="20" spans="2:27" ht="50.1" customHeight="1" x14ac:dyDescent="0.25">
      <c r="B20" s="527" t="s">
        <v>512</v>
      </c>
      <c r="C20" s="157" t="s">
        <v>49</v>
      </c>
      <c r="D20" s="157" t="s">
        <v>50</v>
      </c>
      <c r="E20" s="157" t="s">
        <v>51</v>
      </c>
      <c r="F20" s="89"/>
      <c r="G20" s="89"/>
      <c r="H20" s="89"/>
      <c r="I20" s="89"/>
      <c r="J20" s="89"/>
    </row>
    <row r="21" spans="2:27" ht="50.1" customHeight="1" x14ac:dyDescent="0.25">
      <c r="B21" s="528"/>
      <c r="C21" s="90"/>
      <c r="D21" s="90">
        <v>1.8</v>
      </c>
      <c r="E21" s="90">
        <v>5</v>
      </c>
      <c r="F21" s="89"/>
      <c r="G21" s="89"/>
      <c r="H21" s="89"/>
      <c r="I21" s="89"/>
      <c r="J21" s="89"/>
    </row>
    <row r="22" spans="2:27" s="89" customFormat="1" ht="50.1" customHeight="1" x14ac:dyDescent="0.25">
      <c r="B22" s="271"/>
      <c r="C22" s="272"/>
      <c r="D22" s="272"/>
      <c r="E22" s="272"/>
    </row>
    <row r="23" spans="2:27" s="89" customFormat="1" ht="50.1" customHeight="1" x14ac:dyDescent="0.25">
      <c r="B23" s="516" t="s">
        <v>401</v>
      </c>
      <c r="C23" s="161" t="s">
        <v>78</v>
      </c>
      <c r="D23" s="157" t="s">
        <v>79</v>
      </c>
      <c r="E23" s="157" t="s">
        <v>80</v>
      </c>
      <c r="F23" s="157" t="s">
        <v>81</v>
      </c>
      <c r="G23" s="157" t="s">
        <v>82</v>
      </c>
      <c r="H23" s="157" t="s">
        <v>83</v>
      </c>
      <c r="I23" s="157" t="s">
        <v>84</v>
      </c>
    </row>
    <row r="24" spans="2:27" s="89" customFormat="1" ht="50.1" customHeight="1" x14ac:dyDescent="0.25">
      <c r="B24" s="518"/>
      <c r="C24" s="90">
        <f>(60.68+2.82)+(20.58+0.72)</f>
        <v>84.8</v>
      </c>
      <c r="D24" s="90">
        <v>9.6</v>
      </c>
      <c r="E24" s="90">
        <v>0</v>
      </c>
      <c r="F24" s="90">
        <v>3.3</v>
      </c>
      <c r="G24" s="90">
        <f>12+48</f>
        <v>60</v>
      </c>
      <c r="H24" s="90">
        <f>(89.78+16.7)*2.4</f>
        <v>255.55199999999999</v>
      </c>
      <c r="I24" s="90">
        <f>5.24+0.8</f>
        <v>6.04</v>
      </c>
    </row>
    <row r="25" spans="2:27" ht="50.1" customHeight="1" x14ac:dyDescent="0.25">
      <c r="B25" s="526"/>
      <c r="C25" s="523"/>
      <c r="D25" s="523"/>
      <c r="E25" s="523"/>
    </row>
    <row r="26" spans="2:27" ht="50.1" customHeight="1" x14ac:dyDescent="0.25">
      <c r="B26" s="516" t="s">
        <v>85</v>
      </c>
      <c r="C26" s="161" t="s">
        <v>86</v>
      </c>
      <c r="D26" s="157" t="s">
        <v>87</v>
      </c>
      <c r="E26" s="157" t="s">
        <v>88</v>
      </c>
      <c r="G26" s="165"/>
    </row>
    <row r="27" spans="2:27" ht="50.1" customHeight="1" x14ac:dyDescent="0.25">
      <c r="B27" s="518"/>
      <c r="C27" s="90">
        <v>1.5</v>
      </c>
      <c r="D27" s="91">
        <v>129</v>
      </c>
      <c r="E27" s="91">
        <f>129+36</f>
        <v>165</v>
      </c>
      <c r="G27" s="156"/>
      <c r="H27" s="156"/>
      <c r="I27" s="156"/>
    </row>
    <row r="28" spans="2:27" ht="50.1" customHeight="1" x14ac:dyDescent="0.25">
      <c r="G28" s="156"/>
      <c r="H28" s="156"/>
      <c r="I28" s="156"/>
    </row>
    <row r="29" spans="2:27" s="167" customFormat="1" ht="50.1" customHeight="1" x14ac:dyDescent="0.25">
      <c r="B29" s="215" t="s">
        <v>89</v>
      </c>
      <c r="C29" s="522" t="s">
        <v>89</v>
      </c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222"/>
      <c r="P29" s="222"/>
      <c r="Q29" s="222"/>
      <c r="R29" s="222"/>
      <c r="S29" s="222"/>
      <c r="T29" s="222"/>
      <c r="U29" s="222"/>
      <c r="V29" s="222"/>
      <c r="W29" s="222"/>
    </row>
    <row r="30" spans="2:27" s="167" customFormat="1" ht="50.1" customHeight="1" x14ac:dyDescent="0.25">
      <c r="B30" s="216"/>
      <c r="C30" s="168" t="s">
        <v>90</v>
      </c>
      <c r="D30" s="168" t="s">
        <v>91</v>
      </c>
      <c r="E30" s="168" t="s">
        <v>92</v>
      </c>
      <c r="F30" s="168" t="s">
        <v>93</v>
      </c>
      <c r="G30" s="168" t="s">
        <v>94</v>
      </c>
      <c r="H30" s="168" t="s">
        <v>95</v>
      </c>
      <c r="I30" s="268" t="s">
        <v>96</v>
      </c>
      <c r="J30" s="168" t="s">
        <v>97</v>
      </c>
      <c r="K30" s="168" t="s">
        <v>98</v>
      </c>
      <c r="L30" s="268" t="s">
        <v>99</v>
      </c>
      <c r="M30" s="268" t="s">
        <v>100</v>
      </c>
      <c r="N30" s="268" t="s">
        <v>101</v>
      </c>
      <c r="P30" s="223"/>
      <c r="Q30" s="511"/>
      <c r="R30" s="512"/>
      <c r="S30" s="512"/>
      <c r="T30" s="512"/>
      <c r="U30" s="512"/>
      <c r="V30" s="512"/>
      <c r="W30" s="512"/>
      <c r="X30" s="222"/>
      <c r="Y30" s="166"/>
      <c r="Z30" s="166"/>
      <c r="AA30" s="166"/>
    </row>
    <row r="31" spans="2:27" s="167" customFormat="1" ht="50.1" customHeight="1" x14ac:dyDescent="0.25">
      <c r="B31" s="216"/>
      <c r="C31" s="157" t="s">
        <v>55</v>
      </c>
      <c r="D31" s="157" t="s">
        <v>55</v>
      </c>
      <c r="E31" s="220">
        <v>6.3</v>
      </c>
      <c r="F31" s="220">
        <v>0.3</v>
      </c>
      <c r="G31" s="233">
        <v>0.18</v>
      </c>
      <c r="H31" s="90">
        <f t="shared" ref="H31:H51" si="0">_xlfn.XLOOKUP(C31,$D$12:$X$12,$D$13:$X$13)</f>
        <v>5.2153005700298429</v>
      </c>
      <c r="I31" s="234">
        <f>(IF(H31=0,0,((_xlfn.XLOOKUP(C31,'FE-FxServ-Estabelecimento'!$E$5:$E$44,'FE-FxServ-Estabelecimento'!$F$5:$F$44,"",0)*E31)+(_xlfn.XLOOKUP(C31,'FE-FxServ-Estabelecimento'!$E$5:$E$44,'FE-FxServ-Estabelecimento'!$J$5:$J$44,"",0)*F31)+(_xlfn.XLOOKUP(C31,'FE-FxServ-Estabelecimento'!$E$5:$E$44,'FE-FxServ-Estabelecimento'!$L$5:$L$44,"",0)*G31))))*H31</f>
        <v>6.5712787182376022</v>
      </c>
      <c r="J31" s="234">
        <v>5.1829277329114989</v>
      </c>
      <c r="K31" s="234">
        <v>5.1829277329114989</v>
      </c>
      <c r="L31" s="234">
        <f t="shared" ref="L31:L51" si="1">IF(J31=K31,0,(IF(H31=0,0,J31*50*H31)))</f>
        <v>0</v>
      </c>
      <c r="M31" s="234">
        <f t="shared" ref="M31:M51" si="2">IF(D31="PRF",K31*H31*50*-1,0)</f>
        <v>0</v>
      </c>
      <c r="N31" s="269">
        <f t="shared" ref="N31:N51" si="3">IF(H31=0,0,(L31+I31+M31))</f>
        <v>6.5712787182376022</v>
      </c>
      <c r="P31" s="224"/>
      <c r="Q31" s="225"/>
      <c r="R31" s="225"/>
      <c r="S31" s="225"/>
      <c r="T31" s="225"/>
      <c r="U31" s="225"/>
      <c r="V31" s="225"/>
      <c r="W31" s="225"/>
      <c r="X31" s="222"/>
      <c r="Y31" s="166"/>
      <c r="Z31" s="166"/>
      <c r="AA31" s="166"/>
    </row>
    <row r="32" spans="2:27" s="167" customFormat="1" ht="50.1" customHeight="1" x14ac:dyDescent="0.25">
      <c r="B32" s="216"/>
      <c r="C32" s="157" t="s">
        <v>56</v>
      </c>
      <c r="D32" s="157" t="s">
        <v>56</v>
      </c>
      <c r="E32" s="220">
        <v>2.09</v>
      </c>
      <c r="F32" s="220">
        <v>22.65</v>
      </c>
      <c r="G32" s="233">
        <v>0.31</v>
      </c>
      <c r="H32" s="90">
        <f t="shared" si="0"/>
        <v>0</v>
      </c>
      <c r="I32" s="234">
        <f>(IF(H32=0,0,((_xlfn.XLOOKUP(C32,'FE-FxServ-Estabelecimento'!$E$5:$E$44,'FE-FxServ-Estabelecimento'!$F$5:$F$44,"",0)*E32)+(_xlfn.XLOOKUP(C32,'FE-FxServ-Estabelecimento'!$E$5:$E$44,'FE-FxServ-Estabelecimento'!$J$5:$J$44,"",0)*F32)+(_xlfn.XLOOKUP(C32,'FE-FxServ-Estabelecimento'!$E$5:$E$44,'FE-FxServ-Estabelecimento'!$L$5:$L$44,"",0)*G32))))*H32</f>
        <v>0</v>
      </c>
      <c r="J32" s="234">
        <v>1.722146365831321</v>
      </c>
      <c r="K32" s="234">
        <v>1.722146365831321</v>
      </c>
      <c r="L32" s="234">
        <f t="shared" si="1"/>
        <v>0</v>
      </c>
      <c r="M32" s="234">
        <f t="shared" si="2"/>
        <v>0</v>
      </c>
      <c r="N32" s="269">
        <f t="shared" si="3"/>
        <v>0</v>
      </c>
      <c r="P32" s="226"/>
      <c r="Q32" s="227"/>
      <c r="R32" s="227"/>
      <c r="S32" s="227"/>
      <c r="T32" s="227"/>
      <c r="U32" s="228"/>
      <c r="V32" s="228"/>
      <c r="W32" s="227"/>
      <c r="X32" s="222"/>
      <c r="Y32" s="166"/>
      <c r="Z32" s="166"/>
      <c r="AA32" s="166"/>
    </row>
    <row r="33" spans="2:33" s="167" customFormat="1" ht="50.1" customHeight="1" x14ac:dyDescent="0.25">
      <c r="B33" s="216"/>
      <c r="C33" s="157" t="s">
        <v>57</v>
      </c>
      <c r="D33" s="157" t="s">
        <v>57</v>
      </c>
      <c r="E33" s="220">
        <v>62.87</v>
      </c>
      <c r="F33" s="220">
        <v>4.34</v>
      </c>
      <c r="G33" s="233">
        <v>1.2050000000000001</v>
      </c>
      <c r="H33" s="90">
        <f t="shared" si="0"/>
        <v>0</v>
      </c>
      <c r="I33" s="234">
        <f>(IF(H33=0,0,((_xlfn.XLOOKUP(C33,'FE-FxServ-Estabelecimento'!$E$5:$E$44,'FE-FxServ-Estabelecimento'!$F$5:$F$44,"",0)*E33)+(_xlfn.XLOOKUP(C33,'FE-FxServ-Estabelecimento'!$E$5:$E$44,'FE-FxServ-Estabelecimento'!$J$5:$J$44,"",0)*F33)+(_xlfn.XLOOKUP(C33,'FE-FxServ-Estabelecimento'!$E$5:$E$44,'FE-FxServ-Estabelecimento'!$L$5:$L$44,"",0)*G33))))*H33</f>
        <v>0</v>
      </c>
      <c r="J33" s="234">
        <v>1.4804596120223099</v>
      </c>
      <c r="K33" s="234">
        <v>1.4804596120223099</v>
      </c>
      <c r="L33" s="234">
        <f t="shared" si="1"/>
        <v>0</v>
      </c>
      <c r="M33" s="234">
        <f t="shared" si="2"/>
        <v>0</v>
      </c>
      <c r="N33" s="269">
        <f t="shared" si="3"/>
        <v>0</v>
      </c>
      <c r="P33" s="229"/>
      <c r="Q33" s="230"/>
      <c r="R33" s="230"/>
      <c r="S33" s="230"/>
      <c r="T33" s="230"/>
      <c r="U33" s="231"/>
      <c r="V33" s="231"/>
      <c r="W33" s="232"/>
      <c r="X33" s="222"/>
      <c r="Y33" s="166"/>
      <c r="Z33" s="166"/>
      <c r="AA33" s="166"/>
    </row>
    <row r="34" spans="2:33" s="167" customFormat="1" ht="50.1" customHeight="1" x14ac:dyDescent="0.25">
      <c r="B34" s="216"/>
      <c r="C34" s="157" t="s">
        <v>58</v>
      </c>
      <c r="D34" s="157" t="s">
        <v>58</v>
      </c>
      <c r="E34" s="220">
        <v>17.97</v>
      </c>
      <c r="F34" s="220">
        <v>1.72</v>
      </c>
      <c r="G34" s="233">
        <v>0.32400000000000001</v>
      </c>
      <c r="H34" s="90">
        <f t="shared" si="0"/>
        <v>0</v>
      </c>
      <c r="I34" s="234">
        <f>(IF(H34=0,0,((_xlfn.XLOOKUP(C34,'FE-FxServ-Estabelecimento'!$E$5:$E$44,'FE-FxServ-Estabelecimento'!$F$5:$F$44,"",0)*E34)+(_xlfn.XLOOKUP(C34,'FE-FxServ-Estabelecimento'!$E$5:$E$44,'FE-FxServ-Estabelecimento'!$J$5:$J$44,"",0)*F34)+(_xlfn.XLOOKUP(C34,'FE-FxServ-Estabelecimento'!$E$5:$E$44,'FE-FxServ-Estabelecimento'!$L$5:$L$44,"",0)*G34))))*H34</f>
        <v>0</v>
      </c>
      <c r="J34" s="234">
        <v>1.6187882707518111</v>
      </c>
      <c r="K34" s="234">
        <v>1.6187882707518111</v>
      </c>
      <c r="L34" s="234">
        <f t="shared" si="1"/>
        <v>0</v>
      </c>
      <c r="M34" s="234">
        <f t="shared" si="2"/>
        <v>0</v>
      </c>
      <c r="N34" s="269">
        <f t="shared" si="3"/>
        <v>0</v>
      </c>
      <c r="P34" s="229"/>
      <c r="Q34" s="230"/>
      <c r="R34" s="230"/>
      <c r="S34" s="230"/>
      <c r="T34" s="230"/>
      <c r="U34" s="231"/>
      <c r="V34" s="231"/>
      <c r="W34" s="232"/>
      <c r="X34" s="222"/>
      <c r="Y34" s="166"/>
      <c r="Z34" s="166"/>
      <c r="AA34" s="166"/>
      <c r="AB34" s="169"/>
      <c r="AC34" s="169"/>
      <c r="AD34" s="169"/>
      <c r="AE34" s="169"/>
      <c r="AF34" s="169"/>
      <c r="AG34" s="169"/>
    </row>
    <row r="35" spans="2:33" s="167" customFormat="1" ht="50.1" customHeight="1" x14ac:dyDescent="0.25">
      <c r="B35" s="216"/>
      <c r="C35" s="157" t="s">
        <v>59</v>
      </c>
      <c r="D35" s="157" t="s">
        <v>59</v>
      </c>
      <c r="E35" s="220">
        <v>13.26</v>
      </c>
      <c r="F35" s="220">
        <v>0.51</v>
      </c>
      <c r="G35" s="233">
        <v>0.11600000000000001</v>
      </c>
      <c r="H35" s="90">
        <f t="shared" si="0"/>
        <v>0</v>
      </c>
      <c r="I35" s="234">
        <f>(IF(H35=0,0,((_xlfn.XLOOKUP(C35,'FE-FxServ-Estabelecimento'!$E$5:$E$44,'FE-FxServ-Estabelecimento'!$F$5:$F$44,"",0)*E35)+(_xlfn.XLOOKUP(C35,'FE-FxServ-Estabelecimento'!$E$5:$E$44,'FE-FxServ-Estabelecimento'!$J$5:$J$44,"",0)*F35)+(_xlfn.XLOOKUP(C35,'FE-FxServ-Estabelecimento'!$E$5:$E$44,'FE-FxServ-Estabelecimento'!$L$5:$L$44,"",0)*G35))))*H35</f>
        <v>0</v>
      </c>
      <c r="J35" s="234">
        <v>5.0804343751561074</v>
      </c>
      <c r="K35" s="234">
        <v>5.0804343751561074</v>
      </c>
      <c r="L35" s="234">
        <f t="shared" si="1"/>
        <v>0</v>
      </c>
      <c r="M35" s="234">
        <f t="shared" si="2"/>
        <v>0</v>
      </c>
      <c r="N35" s="269">
        <f t="shared" si="3"/>
        <v>0</v>
      </c>
      <c r="P35" s="229"/>
      <c r="Q35" s="230"/>
      <c r="R35" s="230"/>
      <c r="S35" s="230"/>
      <c r="T35" s="230"/>
      <c r="U35" s="231"/>
      <c r="V35" s="231"/>
      <c r="W35" s="232"/>
      <c r="X35" s="222"/>
      <c r="Y35" s="166"/>
      <c r="Z35" s="166"/>
      <c r="AA35" s="166"/>
      <c r="AB35" s="169"/>
      <c r="AC35" s="169"/>
      <c r="AD35" s="169"/>
      <c r="AE35" s="169"/>
      <c r="AF35" s="169"/>
      <c r="AG35" s="169"/>
    </row>
    <row r="36" spans="2:33" s="167" customFormat="1" ht="50.1" customHeight="1" x14ac:dyDescent="0.25">
      <c r="B36" s="216"/>
      <c r="C36" s="157" t="s">
        <v>60</v>
      </c>
      <c r="D36" s="157" t="s">
        <v>60</v>
      </c>
      <c r="E36" s="220">
        <v>16.96</v>
      </c>
      <c r="F36" s="220">
        <v>1.08</v>
      </c>
      <c r="G36" s="233">
        <v>0.10299999999999999</v>
      </c>
      <c r="H36" s="90">
        <f t="shared" si="0"/>
        <v>0</v>
      </c>
      <c r="I36" s="234">
        <f>(IF(H36=0,0,((_xlfn.XLOOKUP(C36,'FE-FxServ-Estabelecimento'!$E$5:$E$44,'FE-FxServ-Estabelecimento'!$F$5:$F$44,"",0)*E36)+(_xlfn.XLOOKUP(C36,'FE-FxServ-Estabelecimento'!$E$5:$E$44,'FE-FxServ-Estabelecimento'!$J$5:$J$44,"",0)*F36)+(_xlfn.XLOOKUP(C36,'FE-FxServ-Estabelecimento'!$E$5:$E$44,'FE-FxServ-Estabelecimento'!$L$5:$L$44,"",0)*G36))))*H36</f>
        <v>0</v>
      </c>
      <c r="J36" s="234">
        <v>14.8122622380988</v>
      </c>
      <c r="K36" s="234">
        <v>14.812262238098789</v>
      </c>
      <c r="L36" s="234">
        <f t="shared" si="1"/>
        <v>0</v>
      </c>
      <c r="M36" s="234">
        <f t="shared" si="2"/>
        <v>0</v>
      </c>
      <c r="N36" s="269">
        <f t="shared" si="3"/>
        <v>0</v>
      </c>
      <c r="P36" s="229"/>
      <c r="Q36" s="230"/>
      <c r="R36" s="230"/>
      <c r="S36" s="230"/>
      <c r="T36" s="230"/>
      <c r="U36" s="231"/>
      <c r="V36" s="231"/>
      <c r="W36" s="232"/>
      <c r="X36" s="222"/>
      <c r="Y36" s="166"/>
      <c r="Z36" s="166"/>
      <c r="AA36" s="166"/>
      <c r="AB36" s="169"/>
      <c r="AC36" s="169"/>
      <c r="AD36" s="169"/>
      <c r="AE36" s="169"/>
      <c r="AF36" s="169"/>
      <c r="AG36" s="169"/>
    </row>
    <row r="37" spans="2:33" s="167" customFormat="1" ht="50.1" customHeight="1" x14ac:dyDescent="0.25">
      <c r="B37" s="216"/>
      <c r="C37" s="157" t="s">
        <v>61</v>
      </c>
      <c r="D37" s="157" t="s">
        <v>61</v>
      </c>
      <c r="E37" s="220">
        <v>20.68</v>
      </c>
      <c r="F37" s="220">
        <v>1.22</v>
      </c>
      <c r="G37" s="233">
        <v>0.39800000000000002</v>
      </c>
      <c r="H37" s="90">
        <f t="shared" si="0"/>
        <v>0</v>
      </c>
      <c r="I37" s="234">
        <f>(IF(H37=0,0,((_xlfn.XLOOKUP(C37,'FE-FxServ-Estabelecimento'!$E$5:$E$44,'FE-FxServ-Estabelecimento'!$F$5:$F$44,"",0)*E37)+(_xlfn.XLOOKUP(C37,'FE-FxServ-Estabelecimento'!$E$5:$E$44,'FE-FxServ-Estabelecimento'!$J$5:$J$44,"",0)*F37)+(_xlfn.XLOOKUP(C37,'FE-FxServ-Estabelecimento'!$E$5:$E$44,'FE-FxServ-Estabelecimento'!$L$5:$L$44,"",0)*G37))))*H37</f>
        <v>0</v>
      </c>
      <c r="J37" s="234">
        <v>11.18338800470768</v>
      </c>
      <c r="K37" s="234">
        <v>11.18338800470768</v>
      </c>
      <c r="L37" s="234">
        <f t="shared" si="1"/>
        <v>0</v>
      </c>
      <c r="M37" s="234">
        <f t="shared" si="2"/>
        <v>0</v>
      </c>
      <c r="N37" s="269">
        <f t="shared" si="3"/>
        <v>0</v>
      </c>
      <c r="P37" s="229"/>
      <c r="Q37" s="230"/>
      <c r="R37" s="230"/>
      <c r="S37" s="230"/>
      <c r="T37" s="230"/>
      <c r="U37" s="231"/>
      <c r="V37" s="231"/>
      <c r="W37" s="232"/>
      <c r="X37" s="222"/>
      <c r="Y37" s="166"/>
      <c r="Z37" s="166"/>
      <c r="AA37" s="166"/>
      <c r="AB37" s="169"/>
      <c r="AC37" s="169"/>
      <c r="AD37" s="169"/>
      <c r="AE37" s="169"/>
      <c r="AF37" s="169"/>
      <c r="AG37" s="169"/>
    </row>
    <row r="38" spans="2:33" s="167" customFormat="1" ht="50.1" customHeight="1" x14ac:dyDescent="0.25">
      <c r="B38" s="216"/>
      <c r="C38" s="157" t="s">
        <v>62</v>
      </c>
      <c r="D38" s="157" t="s">
        <v>57</v>
      </c>
      <c r="E38" s="220">
        <v>62.87</v>
      </c>
      <c r="F38" s="220">
        <v>4.34</v>
      </c>
      <c r="G38" s="220">
        <v>1.2050000000000001</v>
      </c>
      <c r="H38" s="90">
        <f t="shared" si="0"/>
        <v>9.8867444520808192</v>
      </c>
      <c r="I38" s="234">
        <f>(IF(H38=0,0,((_xlfn.XLOOKUP(C38,'FE-FxServ-Estabelecimento'!$E$5:$E$44,'FE-FxServ-Estabelecimento'!$F$5:$F$44,"",0)*E38)+(_xlfn.XLOOKUP(C38,'FE-FxServ-Estabelecimento'!$E$5:$E$44,'FE-FxServ-Estabelecimento'!$J$5:$J$44,"",0)*F38)+(_xlfn.XLOOKUP(C38,'FE-FxServ-Estabelecimento'!$E$5:$E$44,'FE-FxServ-Estabelecimento'!$L$5:$L$44,"",0)*G38))))*H38</f>
        <v>664.48809462435179</v>
      </c>
      <c r="J38" s="234">
        <v>1.4804596120223099</v>
      </c>
      <c r="K38" s="234">
        <v>1.4804596120223099</v>
      </c>
      <c r="L38" s="234">
        <f t="shared" si="1"/>
        <v>0</v>
      </c>
      <c r="M38" s="234">
        <f t="shared" si="2"/>
        <v>0</v>
      </c>
      <c r="N38" s="269">
        <f t="shared" si="3"/>
        <v>664.48809462435179</v>
      </c>
      <c r="P38" s="229"/>
      <c r="Q38" s="230"/>
      <c r="R38" s="230"/>
      <c r="S38" s="230"/>
      <c r="T38" s="230"/>
      <c r="U38" s="231"/>
      <c r="V38" s="231"/>
      <c r="W38" s="232"/>
      <c r="X38" s="222"/>
      <c r="Y38" s="166"/>
      <c r="Z38" s="166"/>
      <c r="AA38" s="166"/>
      <c r="AB38" s="169"/>
      <c r="AC38" s="169"/>
      <c r="AD38" s="169"/>
      <c r="AE38" s="169"/>
      <c r="AF38" s="169"/>
      <c r="AG38" s="169"/>
    </row>
    <row r="39" spans="2:33" s="167" customFormat="1" ht="50.1" customHeight="1" x14ac:dyDescent="0.25">
      <c r="B39" s="216"/>
      <c r="C39" s="157" t="s">
        <v>63</v>
      </c>
      <c r="D39" s="157" t="s">
        <v>58</v>
      </c>
      <c r="E39" s="220">
        <v>17.97</v>
      </c>
      <c r="F39" s="220">
        <v>1.72</v>
      </c>
      <c r="G39" s="220">
        <v>0.32400000000000001</v>
      </c>
      <c r="H39" s="90">
        <f t="shared" si="0"/>
        <v>0</v>
      </c>
      <c r="I39" s="234">
        <f>(IF(H39=0,0,((_xlfn.XLOOKUP(C39,'FE-FxServ-Estabelecimento'!$E$5:$E$44,'FE-FxServ-Estabelecimento'!$F$5:$F$44,"",0)*E39)+(_xlfn.XLOOKUP(C39,'FE-FxServ-Estabelecimento'!$E$5:$E$44,'FE-FxServ-Estabelecimento'!$J$5:$J$44,"",0)*F39)+(_xlfn.XLOOKUP(C39,'FE-FxServ-Estabelecimento'!$E$5:$E$44,'FE-FxServ-Estabelecimento'!$L$5:$L$44,"",0)*G39))))*H39</f>
        <v>0</v>
      </c>
      <c r="J39" s="234">
        <v>1.6187882707518111</v>
      </c>
      <c r="K39" s="234">
        <v>1.6187882707518111</v>
      </c>
      <c r="L39" s="234">
        <f t="shared" si="1"/>
        <v>0</v>
      </c>
      <c r="M39" s="234">
        <f t="shared" si="2"/>
        <v>0</v>
      </c>
      <c r="N39" s="269">
        <f t="shared" si="3"/>
        <v>0</v>
      </c>
      <c r="P39" s="229"/>
      <c r="Q39" s="230"/>
      <c r="R39" s="230"/>
      <c r="S39" s="230"/>
      <c r="T39" s="230"/>
      <c r="U39" s="231"/>
      <c r="V39" s="231"/>
      <c r="W39" s="232"/>
      <c r="X39" s="222"/>
      <c r="Y39" s="166"/>
      <c r="Z39" s="166"/>
      <c r="AA39" s="166"/>
      <c r="AB39" s="169"/>
      <c r="AC39" s="169"/>
      <c r="AD39" s="169"/>
      <c r="AE39" s="169"/>
      <c r="AF39" s="169"/>
      <c r="AG39" s="169"/>
    </row>
    <row r="40" spans="2:33" s="167" customFormat="1" ht="50.1" customHeight="1" x14ac:dyDescent="0.25">
      <c r="B40" s="216"/>
      <c r="C40" s="157" t="s">
        <v>64</v>
      </c>
      <c r="D40" s="157" t="s">
        <v>59</v>
      </c>
      <c r="E40" s="220">
        <v>13.26</v>
      </c>
      <c r="F40" s="220">
        <v>0.51</v>
      </c>
      <c r="G40" s="220">
        <v>0.11600000000000001</v>
      </c>
      <c r="H40" s="90">
        <f t="shared" si="0"/>
        <v>0.14314824677748594</v>
      </c>
      <c r="I40" s="234">
        <f>(IF(H40=0,0,((_xlfn.XLOOKUP(C40,'FE-FxServ-Estabelecimento'!$E$5:$E$44,'FE-FxServ-Estabelecimento'!$F$5:$F$44,"",0)*E40)+(_xlfn.XLOOKUP(C40,'FE-FxServ-Estabelecimento'!$E$5:$E$44,'FE-FxServ-Estabelecimento'!$J$5:$J$44,"",0)*F40)+(_xlfn.XLOOKUP(C40,'FE-FxServ-Estabelecimento'!$E$5:$E$44,'FE-FxServ-Estabelecimento'!$L$5:$L$44,"",0)*G40))))*H40</f>
        <v>1.9711513581259814</v>
      </c>
      <c r="J40" s="234">
        <v>5.0804343751561074</v>
      </c>
      <c r="K40" s="234">
        <v>5.0804343751561074</v>
      </c>
      <c r="L40" s="234">
        <f t="shared" si="1"/>
        <v>0</v>
      </c>
      <c r="M40" s="234">
        <f t="shared" si="2"/>
        <v>0</v>
      </c>
      <c r="N40" s="269">
        <f t="shared" si="3"/>
        <v>1.9711513581259814</v>
      </c>
      <c r="P40" s="229"/>
      <c r="Q40" s="230"/>
      <c r="R40" s="230"/>
      <c r="S40" s="230"/>
      <c r="T40" s="230"/>
      <c r="U40" s="231"/>
      <c r="V40" s="231"/>
      <c r="W40" s="232"/>
      <c r="X40" s="222"/>
      <c r="Y40" s="166"/>
      <c r="Z40" s="166"/>
      <c r="AA40" s="166"/>
      <c r="AB40" s="169"/>
      <c r="AC40" s="169"/>
      <c r="AD40" s="169"/>
      <c r="AE40" s="169"/>
      <c r="AF40" s="169"/>
      <c r="AG40" s="169"/>
    </row>
    <row r="41" spans="2:33" s="167" customFormat="1" ht="50.1" customHeight="1" x14ac:dyDescent="0.25">
      <c r="B41" s="216"/>
      <c r="C41" s="157" t="s">
        <v>65</v>
      </c>
      <c r="D41" s="157" t="s">
        <v>61</v>
      </c>
      <c r="E41" s="220">
        <v>14.83</v>
      </c>
      <c r="F41" s="220">
        <v>0.2</v>
      </c>
      <c r="G41" s="233">
        <v>1.5449999999999999</v>
      </c>
      <c r="H41" s="90">
        <f t="shared" si="0"/>
        <v>0.9728759949365261</v>
      </c>
      <c r="I41" s="234">
        <f>(IF(H41=0,0,((_xlfn.XLOOKUP(C41,'FE-FxServ-Estabelecimento'!$E$5:$E$44,'FE-FxServ-Estabelecimento'!$F$5:$F$44,"",0)*E41)+(_xlfn.XLOOKUP(C41,'FE-FxServ-Estabelecimento'!$E$5:$E$44,'FE-FxServ-Estabelecimento'!$J$5:$J$44,"",0)*F41)+(_xlfn.XLOOKUP(C41,'FE-FxServ-Estabelecimento'!$E$5:$E$44,'FE-FxServ-Estabelecimento'!$L$5:$L$44,"",0)*G41))))*H41</f>
        <v>14.622326203895987</v>
      </c>
      <c r="J41" s="234">
        <v>11.18338800470768</v>
      </c>
      <c r="K41" s="266">
        <v>11.18338800470768</v>
      </c>
      <c r="L41" s="234">
        <f t="shared" si="1"/>
        <v>0</v>
      </c>
      <c r="M41" s="234">
        <f t="shared" si="2"/>
        <v>0</v>
      </c>
      <c r="N41" s="269">
        <f t="shared" si="3"/>
        <v>14.622326203895987</v>
      </c>
      <c r="P41" s="229"/>
      <c r="Q41" s="230"/>
      <c r="R41" s="230"/>
      <c r="S41" s="230"/>
      <c r="T41" s="230"/>
      <c r="U41" s="231"/>
      <c r="V41" s="231"/>
      <c r="W41" s="232"/>
      <c r="X41" s="222"/>
      <c r="Y41" s="166"/>
      <c r="Z41" s="166"/>
      <c r="AA41" s="166"/>
      <c r="AB41" s="169"/>
      <c r="AC41" s="169"/>
      <c r="AD41" s="169"/>
      <c r="AE41" s="169"/>
      <c r="AF41" s="169"/>
      <c r="AG41" s="169"/>
    </row>
    <row r="42" spans="2:33" s="167" customFormat="1" ht="50.1" customHeight="1" x14ac:dyDescent="0.25">
      <c r="B42" s="216"/>
      <c r="C42" s="157" t="s">
        <v>66</v>
      </c>
      <c r="D42" s="157" t="s">
        <v>102</v>
      </c>
      <c r="E42" s="220">
        <v>63.64</v>
      </c>
      <c r="F42" s="220">
        <v>6.61</v>
      </c>
      <c r="G42" s="233">
        <v>1.2050000000000001</v>
      </c>
      <c r="H42" s="90">
        <f t="shared" si="0"/>
        <v>379.15027458980245</v>
      </c>
      <c r="I42" s="234">
        <f>(IF(H42=0,0,((_xlfn.XLOOKUP(C42,'FE-FxServ-Estabelecimento'!$E$5:$E$44,'FE-FxServ-Estabelecimento'!$F$5:$F$44,"",0)*E42)+(_xlfn.XLOOKUP(C42,'FE-FxServ-Estabelecimento'!$E$5:$E$44,'FE-FxServ-Estabelecimento'!$J$5:$J$44,"",0)*F42)+(_xlfn.XLOOKUP(C42,'FE-FxServ-Estabelecimento'!$E$5:$E$44,'FE-FxServ-Estabelecimento'!$L$5:$L$44,"",0)*G42))))*H42</f>
        <v>27092.182870814333</v>
      </c>
      <c r="J42" s="234">
        <v>39.095040000399642</v>
      </c>
      <c r="K42" s="267">
        <f>0.403*14.8122622380988+0.292*5.1829277329115+0.08*1.48045961202231+0.172*5.08043437515611+0.038*11.1833880047077+0.015*5.1829277329115</f>
        <v>8.9777407216251746</v>
      </c>
      <c r="L42" s="234">
        <f t="shared" si="1"/>
        <v>741144.75756254175</v>
      </c>
      <c r="M42" s="234">
        <f t="shared" si="2"/>
        <v>-170195.64299001181</v>
      </c>
      <c r="N42" s="269">
        <f t="shared" si="3"/>
        <v>598041.29744334426</v>
      </c>
      <c r="P42" s="229"/>
      <c r="Q42" s="230"/>
      <c r="R42" s="230"/>
      <c r="S42" s="230"/>
      <c r="T42" s="230"/>
      <c r="U42" s="231"/>
      <c r="V42" s="231"/>
      <c r="W42" s="232"/>
      <c r="X42" s="222"/>
      <c r="Y42" s="166"/>
      <c r="Z42" s="166"/>
      <c r="AA42" s="166"/>
      <c r="AB42" s="169"/>
      <c r="AC42" s="169"/>
      <c r="AD42" s="169"/>
      <c r="AE42" s="169"/>
      <c r="AF42" s="169"/>
      <c r="AG42" s="169"/>
    </row>
    <row r="43" spans="2:33" ht="50.1" customHeight="1" x14ac:dyDescent="0.25">
      <c r="B43" s="216"/>
      <c r="C43" s="157" t="s">
        <v>67</v>
      </c>
      <c r="D43" s="157" t="s">
        <v>102</v>
      </c>
      <c r="E43" s="220">
        <v>4.7699999999999996</v>
      </c>
      <c r="F43" s="220">
        <v>0.04</v>
      </c>
      <c r="G43" s="233">
        <v>0.191</v>
      </c>
      <c r="H43" s="90">
        <f t="shared" si="0"/>
        <v>1.8583519620830571</v>
      </c>
      <c r="I43" s="234">
        <f>(IF(H43=0,0,((_xlfn.XLOOKUP(C43,'FE-FxServ-Estabelecimento'!$E$5:$E$44,'FE-FxServ-Estabelecimento'!$F$5:$F$44,"",0)*E43)+(_xlfn.XLOOKUP(C43,'FE-FxServ-Estabelecimento'!$E$5:$E$44,'FE-FxServ-Estabelecimento'!$J$5:$J$44,"",0)*F43)+(_xlfn.XLOOKUP(C43,'FE-FxServ-Estabelecimento'!$E$5:$E$44,'FE-FxServ-Estabelecimento'!$L$5:$L$44,"",0)*G43))))*H43</f>
        <v>9.293618162377367</v>
      </c>
      <c r="J43" s="234">
        <v>11.18338800470768</v>
      </c>
      <c r="K43" s="266">
        <f>0.403*14.8122622380988+0.292*5.1829277329115+0.08*1.48045961202231+0.172*5.08043437515611+0.038*11.1833880047077+0.015*5.1829277329115</f>
        <v>8.9777407216251746</v>
      </c>
      <c r="L43" s="234">
        <f t="shared" si="1"/>
        <v>1039.1335520642322</v>
      </c>
      <c r="M43" s="234">
        <f t="shared" si="2"/>
        <v>-834.19010425525516</v>
      </c>
      <c r="N43" s="269">
        <f t="shared" si="3"/>
        <v>214.23706597135447</v>
      </c>
      <c r="P43" s="229"/>
      <c r="Q43" s="230"/>
      <c r="R43" s="230"/>
      <c r="S43" s="230"/>
      <c r="T43" s="230"/>
      <c r="U43" s="231"/>
      <c r="V43" s="231"/>
      <c r="W43" s="232"/>
      <c r="X43" s="222"/>
      <c r="Y43" s="166"/>
      <c r="Z43" s="166"/>
      <c r="AA43" s="166"/>
    </row>
    <row r="44" spans="2:33" ht="50.1" customHeight="1" x14ac:dyDescent="0.25">
      <c r="B44" s="216"/>
      <c r="C44" s="157" t="s">
        <v>68</v>
      </c>
      <c r="D44" s="157" t="s">
        <v>61</v>
      </c>
      <c r="E44" s="220">
        <v>20.68</v>
      </c>
      <c r="F44" s="220">
        <v>1.22</v>
      </c>
      <c r="G44" s="233">
        <v>0.39800000000000002</v>
      </c>
      <c r="H44" s="90">
        <f t="shared" si="0"/>
        <v>29.237942494689435</v>
      </c>
      <c r="I44" s="234">
        <f>(IF(H44=0,0,((_xlfn.XLOOKUP(C44,'FE-FxServ-Estabelecimento'!$E$5:$E$44,'FE-FxServ-Estabelecimento'!$F$5:$F$44,"",0)*E44)+(_xlfn.XLOOKUP(C44,'FE-FxServ-Estabelecimento'!$E$5:$E$44,'FE-FxServ-Estabelecimento'!$J$5:$J$44,"",0)*F44)+(_xlfn.XLOOKUP(C44,'FE-FxServ-Estabelecimento'!$E$5:$E$44,'FE-FxServ-Estabelecimento'!$L$5:$L$44,"",0)*G44))))*H44</f>
        <v>640.31094063369858</v>
      </c>
      <c r="J44" s="234">
        <v>11.18338800470768</v>
      </c>
      <c r="K44" s="266">
        <v>11.18338800470768</v>
      </c>
      <c r="L44" s="234">
        <f t="shared" si="1"/>
        <v>0</v>
      </c>
      <c r="M44" s="234">
        <f t="shared" si="2"/>
        <v>0</v>
      </c>
      <c r="N44" s="269">
        <f t="shared" si="3"/>
        <v>640.31094063369858</v>
      </c>
      <c r="P44" s="226"/>
      <c r="Q44" s="227"/>
      <c r="R44" s="227"/>
      <c r="S44" s="227"/>
      <c r="T44" s="227"/>
      <c r="U44" s="227"/>
      <c r="V44" s="227"/>
      <c r="W44" s="227"/>
      <c r="X44" s="222"/>
      <c r="Y44" s="166"/>
      <c r="Z44" s="166"/>
      <c r="AA44" s="166"/>
    </row>
    <row r="45" spans="2:33" ht="50.1" customHeight="1" x14ac:dyDescent="0.25">
      <c r="B45" s="216"/>
      <c r="C45" s="157" t="s">
        <v>69</v>
      </c>
      <c r="D45" s="157" t="s">
        <v>102</v>
      </c>
      <c r="E45" s="220">
        <v>82.46</v>
      </c>
      <c r="F45" s="220">
        <v>5.66</v>
      </c>
      <c r="G45" s="233">
        <v>2.1890000000000001</v>
      </c>
      <c r="H45" s="90">
        <f t="shared" si="0"/>
        <v>152.83186133066798</v>
      </c>
      <c r="I45" s="234">
        <f>(IF(H45=0,0,((_xlfn.XLOOKUP(C45,'FE-FxServ-Estabelecimento'!$E$5:$E$44,'FE-FxServ-Estabelecimento'!$F$5:$F$44,"",0)*E45)+(_xlfn.XLOOKUP(C45,'FE-FxServ-Estabelecimento'!$E$5:$E$44,'FE-FxServ-Estabelecimento'!$J$5:$J$44,"",0)*F45)+(_xlfn.XLOOKUP(C45,'FE-FxServ-Estabelecimento'!$E$5:$E$44,'FE-FxServ-Estabelecimento'!$L$5:$L$44,"",0)*G45))))*H45</f>
        <v>13802.092564911294</v>
      </c>
      <c r="J45" s="234">
        <v>8.5666032231959246</v>
      </c>
      <c r="K45" s="266">
        <f>0.403*14.8122622380988+0.292*5.1829277329115+0.08*1.48045961202231+0.172*5.08043437515611+0.038*11.1833880047077+0.015*5.1829277329115</f>
        <v>8.9777407216251746</v>
      </c>
      <c r="L45" s="234">
        <f t="shared" si="1"/>
        <v>65462.495794116643</v>
      </c>
      <c r="M45" s="234">
        <f t="shared" si="2"/>
        <v>-68604.241251505475</v>
      </c>
      <c r="N45" s="269">
        <f t="shared" si="3"/>
        <v>10660.347107522466</v>
      </c>
      <c r="P45" s="229"/>
      <c r="Q45" s="230"/>
      <c r="R45" s="230"/>
      <c r="S45" s="230"/>
      <c r="T45" s="230"/>
      <c r="U45" s="230"/>
      <c r="V45" s="230"/>
      <c r="W45" s="230"/>
      <c r="X45" s="222"/>
      <c r="Y45" s="166"/>
      <c r="Z45" s="166"/>
      <c r="AA45" s="166"/>
    </row>
    <row r="46" spans="2:33" ht="50.1" customHeight="1" x14ac:dyDescent="0.25">
      <c r="B46" s="216"/>
      <c r="C46" s="157" t="s">
        <v>70</v>
      </c>
      <c r="D46" s="157" t="s">
        <v>60</v>
      </c>
      <c r="E46" s="220">
        <v>0.11</v>
      </c>
      <c r="F46" s="220">
        <v>0.02</v>
      </c>
      <c r="G46" s="233">
        <v>0</v>
      </c>
      <c r="H46" s="90">
        <f t="shared" si="0"/>
        <v>0</v>
      </c>
      <c r="I46" s="234">
        <f>(IF(H46=0,0,((_xlfn.XLOOKUP(C46,'FE-FxServ-Estabelecimento'!$E$5:$E$44,'FE-FxServ-Estabelecimento'!$F$5:$F$44,"",0)*E46)+(_xlfn.XLOOKUP(C46,'FE-FxServ-Estabelecimento'!$E$5:$E$44,'FE-FxServ-Estabelecimento'!$J$5:$J$44,"",0)*F46)+(_xlfn.XLOOKUP(C46,'FE-FxServ-Estabelecimento'!$E$5:$E$44,'FE-FxServ-Estabelecimento'!$L$5:$L$44,"",0)*G46))))*H46</f>
        <v>0</v>
      </c>
      <c r="J46" s="234">
        <v>14.812262238098789</v>
      </c>
      <c r="K46" s="266">
        <v>14.812262238098789</v>
      </c>
      <c r="L46" s="234">
        <f t="shared" si="1"/>
        <v>0</v>
      </c>
      <c r="M46" s="234">
        <f t="shared" si="2"/>
        <v>0</v>
      </c>
      <c r="N46" s="269">
        <f t="shared" si="3"/>
        <v>0</v>
      </c>
      <c r="P46" s="229"/>
      <c r="Q46" s="230"/>
      <c r="R46" s="230"/>
      <c r="S46" s="230"/>
      <c r="T46" s="230"/>
      <c r="U46" s="230"/>
      <c r="V46" s="230"/>
      <c r="W46" s="230"/>
      <c r="X46" s="217"/>
      <c r="Y46" s="166"/>
      <c r="Z46" s="166"/>
      <c r="AA46" s="166"/>
    </row>
    <row r="47" spans="2:33" ht="50.1" customHeight="1" x14ac:dyDescent="0.25">
      <c r="B47" s="216"/>
      <c r="C47" s="157" t="s">
        <v>71</v>
      </c>
      <c r="D47" s="157" t="s">
        <v>102</v>
      </c>
      <c r="E47" s="220">
        <v>6.67</v>
      </c>
      <c r="F47" s="220">
        <v>0.31</v>
      </c>
      <c r="G47" s="233">
        <v>8.8000000000000009E-2</v>
      </c>
      <c r="H47" s="90">
        <f t="shared" si="0"/>
        <v>0</v>
      </c>
      <c r="I47" s="234">
        <f>(IF(H47=0,0,((_xlfn.XLOOKUP(C47,'FE-FxServ-Estabelecimento'!$E$5:$E$44,'FE-FxServ-Estabelecimento'!$F$5:$F$44,"",0)*E47)+(_xlfn.XLOOKUP(C47,'FE-FxServ-Estabelecimento'!$E$5:$E$44,'FE-FxServ-Estabelecimento'!$J$5:$J$44,"",0)*F47)+(_xlfn.XLOOKUP(C47,'FE-FxServ-Estabelecimento'!$E$5:$E$44,'FE-FxServ-Estabelecimento'!$L$5:$L$44,"",0)*G47))))*H47</f>
        <v>0</v>
      </c>
      <c r="J47" s="234">
        <v>22.722263628490559</v>
      </c>
      <c r="K47" s="266">
        <f>0.403*14.8122622380988+0.292*5.1829277329115+0.08*1.48045961202231+0.172*5.08043437515611+0.038*11.1833880047077+0.015*5.1829277329115</f>
        <v>8.9777407216251746</v>
      </c>
      <c r="L47" s="234">
        <f t="shared" si="1"/>
        <v>0</v>
      </c>
      <c r="M47" s="234">
        <f t="shared" si="2"/>
        <v>0</v>
      </c>
      <c r="N47" s="269">
        <f t="shared" si="3"/>
        <v>0</v>
      </c>
      <c r="P47" s="229"/>
      <c r="Q47" s="230"/>
      <c r="R47" s="230"/>
      <c r="S47" s="230"/>
      <c r="T47" s="230"/>
      <c r="U47" s="230"/>
      <c r="V47" s="230"/>
      <c r="W47" s="230"/>
      <c r="X47" s="217"/>
      <c r="Y47" s="166"/>
      <c r="Z47" s="166"/>
      <c r="AA47" s="166"/>
    </row>
    <row r="48" spans="2:33" ht="50.1" customHeight="1" x14ac:dyDescent="0.25">
      <c r="B48" s="216"/>
      <c r="C48" s="157" t="s">
        <v>72</v>
      </c>
      <c r="D48" s="157" t="s">
        <v>72</v>
      </c>
      <c r="E48" s="220">
        <v>2.09</v>
      </c>
      <c r="F48" s="220">
        <v>22.65</v>
      </c>
      <c r="G48" s="233">
        <v>0.31</v>
      </c>
      <c r="H48" s="90">
        <f t="shared" si="0"/>
        <v>83.742400745545254</v>
      </c>
      <c r="I48" s="234">
        <f>(IF(H48=0,0,((_xlfn.XLOOKUP(C48,'FE-FxServ-Estabelecimento'!$E$5:$E$44,'FE-FxServ-Estabelecimento'!$F$5:$F$44,"",0)*E48)+(_xlfn.XLOOKUP(C48,'FE-FxServ-Estabelecimento'!$E$5:$E$44,'FE-FxServ-Estabelecimento'!$J$5:$J$44,"",0)*F48)+(_xlfn.XLOOKUP(C48,'FE-FxServ-Estabelecimento'!$E$5:$E$44,'FE-FxServ-Estabelecimento'!$L$5:$L$44,"",0)*G48))))*H48</f>
        <v>1896.7653768865998</v>
      </c>
      <c r="J48" s="234">
        <v>2.4907651317792028</v>
      </c>
      <c r="K48" s="234">
        <v>2.4907651317792028</v>
      </c>
      <c r="L48" s="234">
        <f t="shared" si="1"/>
        <v>0</v>
      </c>
      <c r="M48" s="234">
        <f t="shared" si="2"/>
        <v>0</v>
      </c>
      <c r="N48" s="269">
        <f t="shared" si="3"/>
        <v>1896.7653768865998</v>
      </c>
      <c r="P48" s="229"/>
      <c r="Q48" s="230"/>
      <c r="R48" s="230"/>
      <c r="S48" s="230"/>
      <c r="T48" s="230"/>
      <c r="U48" s="230"/>
      <c r="V48" s="230"/>
      <c r="W48" s="230"/>
      <c r="X48" s="217"/>
      <c r="Y48" s="166"/>
      <c r="Z48" s="166"/>
      <c r="AA48" s="166"/>
    </row>
    <row r="49" spans="2:27" ht="50.1" customHeight="1" x14ac:dyDescent="0.25">
      <c r="B49" s="216"/>
      <c r="C49" s="157" t="s">
        <v>73</v>
      </c>
      <c r="D49" s="157" t="s">
        <v>73</v>
      </c>
      <c r="E49" s="220">
        <v>0.01</v>
      </c>
      <c r="F49" s="220">
        <v>0.04</v>
      </c>
      <c r="G49" s="233">
        <v>0</v>
      </c>
      <c r="H49" s="90">
        <f t="shared" si="0"/>
        <v>0</v>
      </c>
      <c r="I49" s="234">
        <f>(IF(H49=0,0,((_xlfn.XLOOKUP(C49,'FE-FxServ-Estabelecimento'!$E$5:$E$44,'FE-FxServ-Estabelecimento'!$F$5:$F$44,"",0)*E49)+(_xlfn.XLOOKUP(C49,'FE-FxServ-Estabelecimento'!$E$5:$E$44,'FE-FxServ-Estabelecimento'!$J$5:$J$44,"",0)*F49)+(_xlfn.XLOOKUP(C49,'FE-FxServ-Estabelecimento'!$E$5:$E$44,'FE-FxServ-Estabelecimento'!$L$5:$L$44,"",0)*G49))))*H49</f>
        <v>0</v>
      </c>
      <c r="J49" s="234">
        <v>1.722146365831321</v>
      </c>
      <c r="K49" s="234">
        <v>1.722146365831321</v>
      </c>
      <c r="L49" s="234">
        <f t="shared" si="1"/>
        <v>0</v>
      </c>
      <c r="M49" s="234">
        <f t="shared" si="2"/>
        <v>0</v>
      </c>
      <c r="N49" s="269">
        <f t="shared" si="3"/>
        <v>0</v>
      </c>
      <c r="O49" s="171"/>
      <c r="P49" s="509"/>
      <c r="Q49" s="510"/>
      <c r="R49" s="510"/>
      <c r="S49" s="510"/>
      <c r="T49" s="510"/>
      <c r="U49" s="510"/>
      <c r="V49" s="510"/>
      <c r="W49" s="510"/>
      <c r="X49" s="510"/>
      <c r="Y49" s="166"/>
      <c r="Z49" s="166"/>
      <c r="AA49" s="166"/>
    </row>
    <row r="50" spans="2:27" ht="50.1" customHeight="1" x14ac:dyDescent="0.25">
      <c r="B50" s="216"/>
      <c r="C50" s="157" t="s">
        <v>74</v>
      </c>
      <c r="D50" s="157" t="s">
        <v>74</v>
      </c>
      <c r="E50" s="220">
        <v>0.01</v>
      </c>
      <c r="F50" s="220">
        <v>0.04</v>
      </c>
      <c r="G50" s="233">
        <v>0</v>
      </c>
      <c r="H50" s="90">
        <f t="shared" si="0"/>
        <v>0</v>
      </c>
      <c r="I50" s="234">
        <f>(IF(H50=0,0,((_xlfn.XLOOKUP(C50,'FE-FxServ-Estabelecimento'!$E$5:$E$44,'FE-FxServ-Estabelecimento'!$F$5:$F$44,"",0)*E50)+(_xlfn.XLOOKUP(C50,'FE-FxServ-Estabelecimento'!$E$5:$E$44,'FE-FxServ-Estabelecimento'!$J$5:$J$44,"",0)*F50)+(_xlfn.XLOOKUP(C50,'FE-FxServ-Estabelecimento'!$E$5:$E$44,'FE-FxServ-Estabelecimento'!$L$5:$L$44,"",0)*G50))))*H50</f>
        <v>0</v>
      </c>
      <c r="J50" s="234">
        <v>1.722146365831321</v>
      </c>
      <c r="K50" s="234">
        <v>1.722146365831321</v>
      </c>
      <c r="L50" s="234">
        <f t="shared" si="1"/>
        <v>0</v>
      </c>
      <c r="M50" s="234">
        <f t="shared" si="2"/>
        <v>0</v>
      </c>
      <c r="N50" s="269">
        <f t="shared" si="3"/>
        <v>0</v>
      </c>
      <c r="P50" s="170"/>
    </row>
    <row r="51" spans="2:27" ht="50.1" customHeight="1" x14ac:dyDescent="0.25">
      <c r="B51" s="216"/>
      <c r="C51" s="157" t="s">
        <v>75</v>
      </c>
      <c r="D51" s="157" t="s">
        <v>75</v>
      </c>
      <c r="E51" s="220">
        <v>0.01</v>
      </c>
      <c r="F51" s="220">
        <v>0.04</v>
      </c>
      <c r="G51" s="233">
        <v>0</v>
      </c>
      <c r="H51" s="90">
        <f t="shared" si="0"/>
        <v>0</v>
      </c>
      <c r="I51" s="234">
        <f>(IF(H51=0,0,((_xlfn.XLOOKUP(C51,'FE-FxServ-Estabelecimento'!$E$5:$E$44,'FE-FxServ-Estabelecimento'!$F$5:$F$44,"",0)*E51)+(_xlfn.XLOOKUP(C51,'FE-FxServ-Estabelecimento'!$E$5:$E$44,'FE-FxServ-Estabelecimento'!$J$5:$J$44,"",0)*F51)+(_xlfn.XLOOKUP(C51,'FE-FxServ-Estabelecimento'!$E$5:$E$44,'FE-FxServ-Estabelecimento'!$L$5:$L$44,"",0)*G51))))*H51</f>
        <v>0</v>
      </c>
      <c r="J51" s="234">
        <v>1.722146365831321</v>
      </c>
      <c r="K51" s="234">
        <v>1.722146365831321</v>
      </c>
      <c r="L51" s="234">
        <f t="shared" si="1"/>
        <v>0</v>
      </c>
      <c r="M51" s="234">
        <f t="shared" si="2"/>
        <v>0</v>
      </c>
      <c r="N51" s="269">
        <f t="shared" si="3"/>
        <v>0</v>
      </c>
      <c r="P51" s="170"/>
    </row>
    <row r="52" spans="2:27" ht="50.1" customHeight="1" x14ac:dyDescent="0.25">
      <c r="B52" s="513" t="s">
        <v>103</v>
      </c>
      <c r="C52" s="514"/>
      <c r="D52" s="514"/>
      <c r="I52" s="221">
        <f>SUM(I31:I51)</f>
        <v>44128.298222312915</v>
      </c>
      <c r="L52" s="221">
        <f>SUM(L31:L51)</f>
        <v>807646.38690872258</v>
      </c>
      <c r="M52" s="221">
        <f>SUM(M31:M51)</f>
        <v>-239634.07434577253</v>
      </c>
      <c r="N52" s="221">
        <f>SUM(N31:N51)</f>
        <v>612140.61078526289</v>
      </c>
    </row>
    <row r="53" spans="2:27" ht="50.1" customHeight="1" x14ac:dyDescent="0.25">
      <c r="I53" s="149" t="s">
        <v>104</v>
      </c>
      <c r="L53" s="149" t="s">
        <v>105</v>
      </c>
      <c r="M53" s="149" t="s">
        <v>106</v>
      </c>
      <c r="N53" s="149" t="s">
        <v>89</v>
      </c>
    </row>
    <row r="54" spans="2:27" ht="50.1" customHeight="1" x14ac:dyDescent="0.25"/>
    <row r="55" spans="2:27" ht="50.1" customHeight="1" x14ac:dyDescent="0.25"/>
    <row r="56" spans="2:27" ht="50.1" customHeight="1" x14ac:dyDescent="0.25"/>
  </sheetData>
  <sheetProtection algorithmName="SHA-512" hashValue="HHSS/QdJu6Is1vNK3x3tX4WfbTiqsknAduCQj4JsWqazpjp1ui/0mjfTnQSLxxfOKAg/ndSDPfDrrcqhi/a/LQ==" saltValue="Saqp6jUDFb4XLS49+0o4DQ==" spinCount="100000" sheet="1" objects="1" scenarios="1"/>
  <mergeCells count="14">
    <mergeCell ref="P49:X49"/>
    <mergeCell ref="Q30:W30"/>
    <mergeCell ref="B52:D52"/>
    <mergeCell ref="A1:P1"/>
    <mergeCell ref="B12:B15"/>
    <mergeCell ref="B17:B18"/>
    <mergeCell ref="D11:X11"/>
    <mergeCell ref="C29:N29"/>
    <mergeCell ref="B8:B9"/>
    <mergeCell ref="C6:I6"/>
    <mergeCell ref="B26:B27"/>
    <mergeCell ref="B25:E25"/>
    <mergeCell ref="B23:B24"/>
    <mergeCell ref="B20:B21"/>
  </mergeCells>
  <dataValidations count="1">
    <dataValidation allowBlank="1" showInputMessage="1" showErrorMessage="1" errorTitle="ss" sqref="C13 C15" xr:uid="{00000000-0002-0000-0200-000000000000}"/>
  </dataValidations>
  <pageMargins left="0.7" right="0.7" top="0.75" bottom="0.75" header="0.3" footer="0.3"/>
  <pageSetup paperSize="9" orientation="portrait"/>
  <drawing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olha4">
    <tabColor theme="9" tint="0.39997558519241921"/>
  </sheetPr>
  <dimension ref="A1:M66"/>
  <sheetViews>
    <sheetView showGridLines="0" topLeftCell="A47" zoomScaleNormal="100" workbookViewId="0">
      <selection activeCell="H19" sqref="H19"/>
    </sheetView>
  </sheetViews>
  <sheetFormatPr defaultColWidth="8.7109375" defaultRowHeight="15" x14ac:dyDescent="0.25"/>
  <cols>
    <col min="1" max="1" width="4.42578125" style="59" customWidth="1"/>
    <col min="2" max="2" width="12.85546875" style="59" bestFit="1" customWidth="1"/>
    <col min="3" max="3" width="24.28515625" style="59" customWidth="1"/>
    <col min="4" max="4" width="31.5703125" style="59" customWidth="1"/>
    <col min="5" max="5" width="50.85546875" style="59" customWidth="1"/>
    <col min="6" max="6" width="19.140625" style="59" customWidth="1"/>
    <col min="7" max="7" width="18.5703125" style="59" bestFit="1" customWidth="1"/>
    <col min="8" max="8" width="16.42578125" style="64" customWidth="1"/>
    <col min="9" max="9" width="35" style="59" bestFit="1" customWidth="1"/>
    <col min="10" max="10" width="26.85546875" style="59" customWidth="1"/>
    <col min="11" max="11" width="13.42578125" style="59" customWidth="1"/>
    <col min="12" max="12" width="17.28515625" style="59" customWidth="1"/>
    <col min="13" max="13" width="17.140625" style="59" customWidth="1"/>
    <col min="14" max="14" width="8.7109375" style="59" customWidth="1"/>
    <col min="15" max="16384" width="8.7109375" style="59"/>
  </cols>
  <sheetData>
    <row r="1" spans="1:13" s="204" customFormat="1" ht="24.75" customHeight="1" x14ac:dyDescent="0.25">
      <c r="A1" s="382" t="s">
        <v>0</v>
      </c>
      <c r="B1" s="531"/>
      <c r="C1" s="531"/>
      <c r="D1" s="531"/>
      <c r="E1" s="531"/>
      <c r="F1" s="531"/>
      <c r="G1" s="531"/>
      <c r="H1" s="531"/>
      <c r="I1" s="531"/>
      <c r="J1" s="531"/>
      <c r="K1" s="203"/>
      <c r="L1" s="203"/>
      <c r="M1" s="200"/>
    </row>
    <row r="3" spans="1:13" ht="23.1" customHeight="1" x14ac:dyDescent="0.25">
      <c r="F3" s="88"/>
    </row>
    <row r="4" spans="1:13" s="86" customFormat="1" x14ac:dyDescent="0.25">
      <c r="A4" s="92"/>
      <c r="B4" s="121"/>
      <c r="C4" s="92"/>
      <c r="D4" s="92"/>
      <c r="E4" s="92"/>
      <c r="F4" s="92"/>
      <c r="G4" s="89"/>
      <c r="H4" s="87"/>
    </row>
    <row r="5" spans="1:13" s="86" customFormat="1" x14ac:dyDescent="0.25">
      <c r="A5" s="92"/>
      <c r="B5" s="121"/>
      <c r="C5" s="92"/>
      <c r="D5" s="92"/>
      <c r="E5" s="92"/>
      <c r="F5" s="92"/>
      <c r="G5" s="89"/>
      <c r="H5" s="87"/>
    </row>
    <row r="6" spans="1:13" ht="18.600000000000001" customHeight="1" x14ac:dyDescent="0.25">
      <c r="B6" s="532" t="s">
        <v>107</v>
      </c>
      <c r="C6" s="530"/>
      <c r="D6" s="530"/>
      <c r="E6" s="530"/>
      <c r="F6" s="530"/>
      <c r="G6" s="530"/>
      <c r="H6" s="533"/>
      <c r="I6" s="530"/>
      <c r="J6" s="530"/>
    </row>
    <row r="7" spans="1:13" s="86" customFormat="1" x14ac:dyDescent="0.25">
      <c r="H7" s="87"/>
      <c r="K7" s="205"/>
      <c r="L7" s="205"/>
    </row>
    <row r="8" spans="1:13" ht="50.1" customHeight="1" x14ac:dyDescent="0.25">
      <c r="B8" s="190" t="s">
        <v>108</v>
      </c>
      <c r="C8" s="191" t="s">
        <v>109</v>
      </c>
      <c r="D8" s="191" t="s">
        <v>110</v>
      </c>
      <c r="E8" s="191" t="s">
        <v>111</v>
      </c>
      <c r="F8" s="191" t="s">
        <v>112</v>
      </c>
      <c r="G8" s="191" t="s">
        <v>113</v>
      </c>
      <c r="H8" s="192" t="s">
        <v>114</v>
      </c>
      <c r="I8" s="191" t="s">
        <v>115</v>
      </c>
      <c r="J8" s="191" t="s">
        <v>116</v>
      </c>
      <c r="K8" s="123"/>
      <c r="L8" s="529"/>
      <c r="M8" s="530"/>
    </row>
    <row r="9" spans="1:13" ht="50.1" customHeight="1" x14ac:dyDescent="0.25">
      <c r="B9" s="193" t="s">
        <v>117</v>
      </c>
      <c r="C9" s="65" t="s">
        <v>118</v>
      </c>
      <c r="D9" s="93" t="s">
        <v>118</v>
      </c>
      <c r="E9" s="65" t="s">
        <v>119</v>
      </c>
      <c r="F9" s="262" t="s">
        <v>12</v>
      </c>
      <c r="G9" s="67" t="s">
        <v>120</v>
      </c>
      <c r="H9" s="273">
        <f>'Inserção de dados_Linhas'!I52</f>
        <v>44128.298222312915</v>
      </c>
      <c r="I9" s="94" t="s">
        <v>121</v>
      </c>
      <c r="J9" s="265"/>
      <c r="K9" s="123"/>
      <c r="L9" s="124"/>
      <c r="M9" s="124"/>
    </row>
    <row r="10" spans="1:13" ht="50.1" customHeight="1" x14ac:dyDescent="0.25">
      <c r="B10" s="193" t="s">
        <v>122</v>
      </c>
      <c r="C10" s="65" t="s">
        <v>123</v>
      </c>
      <c r="D10" s="261" t="s">
        <v>124</v>
      </c>
      <c r="E10" s="65" t="s">
        <v>125</v>
      </c>
      <c r="F10" s="262" t="s">
        <v>12</v>
      </c>
      <c r="G10" s="67" t="s">
        <v>120</v>
      </c>
      <c r="H10" s="273">
        <f>'FE-FxServ-EmissõesEstableciment'!$O$5*10^-3</f>
        <v>0</v>
      </c>
      <c r="I10" s="94" t="s">
        <v>126</v>
      </c>
      <c r="J10" s="33" t="s">
        <v>127</v>
      </c>
      <c r="K10" s="123"/>
      <c r="L10" s="124"/>
      <c r="M10" s="124"/>
    </row>
    <row r="11" spans="1:13" ht="50.1" customHeight="1" x14ac:dyDescent="0.25">
      <c r="B11" s="193" t="s">
        <v>122</v>
      </c>
      <c r="C11" s="65" t="s">
        <v>123</v>
      </c>
      <c r="D11" s="261" t="s">
        <v>124</v>
      </c>
      <c r="E11" s="67" t="s">
        <v>128</v>
      </c>
      <c r="F11" s="262" t="s">
        <v>12</v>
      </c>
      <c r="G11" s="67" t="s">
        <v>120</v>
      </c>
      <c r="H11" s="273">
        <f>'FE-FxServ-EmissõesEstableciment'!$O$14*10^-3</f>
        <v>0.48342485639542709</v>
      </c>
      <c r="I11" s="94" t="s">
        <v>126</v>
      </c>
      <c r="J11" s="33" t="s">
        <v>127</v>
      </c>
      <c r="K11" s="123"/>
      <c r="L11" s="124"/>
      <c r="M11" s="124"/>
    </row>
    <row r="12" spans="1:13" ht="50.1" customHeight="1" x14ac:dyDescent="0.25">
      <c r="B12" s="193" t="s">
        <v>122</v>
      </c>
      <c r="C12" s="65" t="s">
        <v>123</v>
      </c>
      <c r="D12" s="261" t="s">
        <v>124</v>
      </c>
      <c r="E12" s="66" t="s">
        <v>129</v>
      </c>
      <c r="F12" s="262" t="s">
        <v>12</v>
      </c>
      <c r="G12" s="67" t="s">
        <v>120</v>
      </c>
      <c r="H12" s="273">
        <f>'FE-FxServ-EmissõesEstableciment'!$O$22*10^-3</f>
        <v>0</v>
      </c>
      <c r="I12" s="94" t="s">
        <v>126</v>
      </c>
      <c r="J12" s="33" t="s">
        <v>127</v>
      </c>
      <c r="K12" s="123"/>
      <c r="L12" s="124"/>
      <c r="M12" s="124"/>
    </row>
    <row r="13" spans="1:13" ht="50.1" customHeight="1" x14ac:dyDescent="0.25">
      <c r="B13" s="193" t="s">
        <v>122</v>
      </c>
      <c r="C13" s="65" t="s">
        <v>123</v>
      </c>
      <c r="D13" s="261" t="s">
        <v>124</v>
      </c>
      <c r="E13" s="68" t="s">
        <v>130</v>
      </c>
      <c r="F13" s="262" t="s">
        <v>12</v>
      </c>
      <c r="G13" s="67" t="s">
        <v>120</v>
      </c>
      <c r="H13" s="273">
        <f>'FE-FxServ-EmissõesEstableciment'!$O$24*10^-3</f>
        <v>0</v>
      </c>
      <c r="I13" s="94" t="s">
        <v>126</v>
      </c>
      <c r="J13" s="33" t="s">
        <v>127</v>
      </c>
      <c r="K13" s="123"/>
      <c r="L13" s="124"/>
      <c r="M13" s="124"/>
    </row>
    <row r="14" spans="1:13" ht="50.1" customHeight="1" x14ac:dyDescent="0.25">
      <c r="B14" s="193" t="s">
        <v>122</v>
      </c>
      <c r="C14" s="65" t="s">
        <v>123</v>
      </c>
      <c r="D14" s="261" t="s">
        <v>124</v>
      </c>
      <c r="E14" s="67" t="s">
        <v>131</v>
      </c>
      <c r="F14" s="262" t="s">
        <v>12</v>
      </c>
      <c r="G14" s="67" t="s">
        <v>120</v>
      </c>
      <c r="H14" s="273">
        <f>'FE-FxServ-EmissõesEstableciment'!$O$29*10^-3</f>
        <v>614.26556052078035</v>
      </c>
      <c r="I14" s="94" t="s">
        <v>126</v>
      </c>
      <c r="J14" s="33" t="s">
        <v>127</v>
      </c>
      <c r="K14" s="123"/>
      <c r="L14" s="124"/>
      <c r="M14" s="124"/>
    </row>
    <row r="15" spans="1:13" ht="50.1" customHeight="1" x14ac:dyDescent="0.25">
      <c r="B15" s="193" t="s">
        <v>122</v>
      </c>
      <c r="C15" s="65" t="s">
        <v>123</v>
      </c>
      <c r="D15" s="261" t="s">
        <v>124</v>
      </c>
      <c r="E15" s="65" t="s">
        <v>132</v>
      </c>
      <c r="F15" s="262" t="s">
        <v>12</v>
      </c>
      <c r="G15" s="67" t="s">
        <v>120</v>
      </c>
      <c r="H15" s="273">
        <f>'FE-FxServ-EmissõesEstableciment'!$O$39*10^-3</f>
        <v>17.905265889278411</v>
      </c>
      <c r="I15" s="94" t="s">
        <v>126</v>
      </c>
      <c r="J15" s="33" t="s">
        <v>127</v>
      </c>
      <c r="K15" s="123"/>
      <c r="L15" s="124"/>
      <c r="M15" s="124"/>
    </row>
    <row r="16" spans="1:13" ht="50.1" customHeight="1" x14ac:dyDescent="0.25">
      <c r="B16" s="193" t="s">
        <v>122</v>
      </c>
      <c r="C16" s="65" t="s">
        <v>123</v>
      </c>
      <c r="D16" s="261" t="s">
        <v>124</v>
      </c>
      <c r="E16" s="94" t="s">
        <v>133</v>
      </c>
      <c r="F16" s="262" t="s">
        <v>12</v>
      </c>
      <c r="G16" s="67" t="s">
        <v>120</v>
      </c>
      <c r="H16" s="273">
        <f>'FE-FxServ-EmissõesEstableciment'!$O$40*10^-3</f>
        <v>0</v>
      </c>
      <c r="I16" s="94" t="s">
        <v>126</v>
      </c>
      <c r="J16" s="33" t="s">
        <v>127</v>
      </c>
      <c r="K16" s="123"/>
      <c r="L16" s="124"/>
      <c r="M16" s="124"/>
    </row>
    <row r="17" spans="2:13" ht="50.1" customHeight="1" x14ac:dyDescent="0.25">
      <c r="B17" s="193" t="s">
        <v>122</v>
      </c>
      <c r="C17" s="65" t="s">
        <v>123</v>
      </c>
      <c r="D17" s="261" t="s">
        <v>124</v>
      </c>
      <c r="E17" s="94" t="s">
        <v>134</v>
      </c>
      <c r="F17" s="262" t="s">
        <v>12</v>
      </c>
      <c r="G17" s="67" t="s">
        <v>120</v>
      </c>
      <c r="H17" s="273">
        <f>'FE-FxServ-EmissõesEstableciment'!$O$43*10^-3</f>
        <v>0</v>
      </c>
      <c r="I17" s="94" t="s">
        <v>126</v>
      </c>
      <c r="J17" s="33" t="s">
        <v>127</v>
      </c>
      <c r="K17" s="123"/>
      <c r="L17" s="124"/>
      <c r="M17" s="124"/>
    </row>
    <row r="18" spans="2:13" ht="50.1" customHeight="1" x14ac:dyDescent="0.25">
      <c r="B18" s="193" t="s">
        <v>122</v>
      </c>
      <c r="C18" s="65" t="s">
        <v>123</v>
      </c>
      <c r="D18" s="261" t="s">
        <v>124</v>
      </c>
      <c r="E18" s="94" t="s">
        <v>135</v>
      </c>
      <c r="F18" s="262" t="s">
        <v>12</v>
      </c>
      <c r="G18" s="67" t="s">
        <v>120</v>
      </c>
      <c r="H18" s="273">
        <f>'FE-FxServ-EmissõesEstableciment'!$O$44*10^-3</f>
        <v>0</v>
      </c>
      <c r="I18" s="94" t="s">
        <v>126</v>
      </c>
      <c r="J18" s="33" t="s">
        <v>127</v>
      </c>
      <c r="L18" s="124"/>
      <c r="M18" s="124"/>
    </row>
    <row r="19" spans="2:13" ht="50.1" customHeight="1" x14ac:dyDescent="0.25">
      <c r="B19" s="193" t="s">
        <v>136</v>
      </c>
      <c r="C19" s="65" t="s">
        <v>137</v>
      </c>
      <c r="D19" s="65" t="s">
        <v>138</v>
      </c>
      <c r="E19" s="65" t="s">
        <v>139</v>
      </c>
      <c r="F19" s="68">
        <f>3530.87*10^-3</f>
        <v>3.5308700000000002</v>
      </c>
      <c r="G19" s="65" t="s">
        <v>140</v>
      </c>
      <c r="H19" s="68">
        <f>$F$19*'Inserção de dados_Linhas'!$C$18</f>
        <v>30133.98050845</v>
      </c>
      <c r="I19" s="94" t="s">
        <v>141</v>
      </c>
      <c r="J19" s="33" t="s">
        <v>127</v>
      </c>
      <c r="L19" s="124"/>
      <c r="M19" s="124"/>
    </row>
    <row r="20" spans="2:13" ht="50.1" customHeight="1" x14ac:dyDescent="0.25">
      <c r="B20" s="193" t="s">
        <v>136</v>
      </c>
      <c r="C20" s="65" t="s">
        <v>137</v>
      </c>
      <c r="D20" s="65" t="s">
        <v>138</v>
      </c>
      <c r="E20" s="65" t="s">
        <v>142</v>
      </c>
      <c r="F20" s="69">
        <v>31.797999999999998</v>
      </c>
      <c r="G20" s="65" t="s">
        <v>143</v>
      </c>
      <c r="H20" s="68">
        <f>$F$20*'Inserção de dados_Linhas'!D$18</f>
        <v>57713.369999999995</v>
      </c>
      <c r="I20" s="94" t="s">
        <v>144</v>
      </c>
      <c r="J20" s="33" t="s">
        <v>127</v>
      </c>
      <c r="L20" s="124"/>
      <c r="M20" s="124"/>
    </row>
    <row r="21" spans="2:13" ht="50.1" customHeight="1" x14ac:dyDescent="0.25">
      <c r="B21" s="193" t="s">
        <v>136</v>
      </c>
      <c r="C21" s="65" t="s">
        <v>137</v>
      </c>
      <c r="D21" s="65" t="s">
        <v>138</v>
      </c>
      <c r="E21" s="65" t="s">
        <v>145</v>
      </c>
      <c r="F21" s="68">
        <v>3.4940000000000002</v>
      </c>
      <c r="G21" s="65" t="s">
        <v>143</v>
      </c>
      <c r="H21" s="68">
        <f>$F$21*'Inserção de dados_Linhas'!E$18</f>
        <v>547.16039999999998</v>
      </c>
      <c r="I21" s="94" t="s">
        <v>146</v>
      </c>
      <c r="J21" s="33" t="s">
        <v>127</v>
      </c>
      <c r="L21" s="124"/>
      <c r="M21" s="124"/>
    </row>
    <row r="22" spans="2:13" ht="50.1" customHeight="1" x14ac:dyDescent="0.25">
      <c r="B22" s="193" t="s">
        <v>136</v>
      </c>
      <c r="C22" s="65" t="s">
        <v>137</v>
      </c>
      <c r="D22" s="65" t="s">
        <v>138</v>
      </c>
      <c r="E22" s="65" t="s">
        <v>147</v>
      </c>
      <c r="F22" s="68">
        <v>1.51135</v>
      </c>
      <c r="G22" s="65" t="s">
        <v>143</v>
      </c>
      <c r="H22" s="68">
        <f>$F$22*'Inserção de dados_Linhas'!F$18</f>
        <v>251.33750500000002</v>
      </c>
      <c r="I22" s="67" t="s">
        <v>148</v>
      </c>
      <c r="J22" s="33" t="s">
        <v>127</v>
      </c>
      <c r="L22" s="124"/>
      <c r="M22" s="124"/>
    </row>
    <row r="23" spans="2:13" ht="50.1" customHeight="1" x14ac:dyDescent="0.25">
      <c r="B23" s="193" t="s">
        <v>136</v>
      </c>
      <c r="C23" s="65" t="s">
        <v>137</v>
      </c>
      <c r="D23" s="65" t="s">
        <v>138</v>
      </c>
      <c r="E23" s="65" t="s">
        <v>149</v>
      </c>
      <c r="F23" s="68">
        <f>63.463*10^-3</f>
        <v>6.3463000000000006E-2</v>
      </c>
      <c r="G23" s="65" t="s">
        <v>150</v>
      </c>
      <c r="H23" s="68">
        <f>$F$23*'Inserção de dados_Linhas'!G$18</f>
        <v>202.95467400000001</v>
      </c>
      <c r="I23" s="67" t="s">
        <v>151</v>
      </c>
      <c r="J23" s="33" t="s">
        <v>127</v>
      </c>
      <c r="L23" s="124"/>
      <c r="M23" s="124"/>
    </row>
    <row r="24" spans="2:13" ht="50.1" customHeight="1" x14ac:dyDescent="0.25">
      <c r="B24" s="193" t="s">
        <v>136</v>
      </c>
      <c r="C24" s="65" t="s">
        <v>137</v>
      </c>
      <c r="D24" s="65" t="s">
        <v>138</v>
      </c>
      <c r="E24" s="65" t="s">
        <v>152</v>
      </c>
      <c r="F24" s="68">
        <v>0.86</v>
      </c>
      <c r="G24" s="65" t="s">
        <v>153</v>
      </c>
      <c r="H24" s="68">
        <f>$F$24*'Inserção de dados_Linhas'!H$18</f>
        <v>26513.111999999997</v>
      </c>
      <c r="I24" s="67" t="s">
        <v>154</v>
      </c>
      <c r="J24" s="214" t="s">
        <v>127</v>
      </c>
      <c r="L24" s="124"/>
      <c r="M24" s="124"/>
    </row>
    <row r="25" spans="2:13" ht="50.1" customHeight="1" x14ac:dyDescent="0.25">
      <c r="B25" s="193" t="s">
        <v>136</v>
      </c>
      <c r="C25" s="65" t="s">
        <v>137</v>
      </c>
      <c r="D25" s="65" t="s">
        <v>138</v>
      </c>
      <c r="E25" s="65" t="s">
        <v>155</v>
      </c>
      <c r="F25" s="66">
        <v>2.2999999999999998</v>
      </c>
      <c r="G25" s="65" t="s">
        <v>156</v>
      </c>
      <c r="H25" s="68">
        <f>$F$25*'Inserção de dados_Linhas'!I$18</f>
        <v>1731.8539999999998</v>
      </c>
      <c r="I25" s="67" t="s">
        <v>157</v>
      </c>
      <c r="J25" s="33" t="s">
        <v>127</v>
      </c>
      <c r="L25" s="124"/>
      <c r="M25" s="124"/>
    </row>
    <row r="26" spans="2:13" ht="50.1" customHeight="1" x14ac:dyDescent="0.25">
      <c r="B26" s="193" t="s">
        <v>136</v>
      </c>
      <c r="C26" s="65" t="s">
        <v>137</v>
      </c>
      <c r="D26" s="65" t="s">
        <v>158</v>
      </c>
      <c r="E26" s="65" t="s">
        <v>159</v>
      </c>
      <c r="F26" s="70">
        <v>10.547000000000001</v>
      </c>
      <c r="G26" s="65" t="s">
        <v>160</v>
      </c>
      <c r="H26" s="68">
        <f>$F$26*'Inserção de dados_Linhas'!$D$9</f>
        <v>1600.6127200000003</v>
      </c>
      <c r="I26" s="67" t="s">
        <v>161</v>
      </c>
      <c r="J26" s="189" t="s">
        <v>162</v>
      </c>
      <c r="L26" s="124"/>
      <c r="M26" s="124"/>
    </row>
    <row r="27" spans="2:13" ht="50.1" customHeight="1" x14ac:dyDescent="0.25">
      <c r="B27" s="193" t="s">
        <v>136</v>
      </c>
      <c r="C27" s="65" t="s">
        <v>137</v>
      </c>
      <c r="D27" s="65" t="s">
        <v>158</v>
      </c>
      <c r="E27" s="65" t="s">
        <v>163</v>
      </c>
      <c r="F27" s="70">
        <v>23.6</v>
      </c>
      <c r="G27" s="70" t="s">
        <v>120</v>
      </c>
      <c r="H27" s="68">
        <f>$F$27</f>
        <v>23.6</v>
      </c>
      <c r="I27" s="67" t="s">
        <v>161</v>
      </c>
      <c r="J27" s="189" t="s">
        <v>162</v>
      </c>
    </row>
    <row r="28" spans="2:13" ht="50.1" customHeight="1" x14ac:dyDescent="0.25">
      <c r="B28" s="193" t="s">
        <v>164</v>
      </c>
      <c r="C28" s="65" t="s">
        <v>165</v>
      </c>
      <c r="D28" s="93" t="s">
        <v>166</v>
      </c>
      <c r="E28" s="65" t="s">
        <v>167</v>
      </c>
      <c r="F28" s="71">
        <f>'FE-Manutenção'!$J$15*10^-3</f>
        <v>1.9912496312449231E-3</v>
      </c>
      <c r="G28" s="67" t="s">
        <v>168</v>
      </c>
      <c r="H28" s="66">
        <f>$F$28*'Inserção de dados_Linhas'!$E$9*'Inserção de dados_Linhas'!$D$15</f>
        <v>34.9464310283484</v>
      </c>
      <c r="I28" s="94" t="s">
        <v>126</v>
      </c>
      <c r="J28" s="33" t="s">
        <v>127</v>
      </c>
      <c r="L28" s="64"/>
    </row>
    <row r="29" spans="2:13" ht="50.1" customHeight="1" x14ac:dyDescent="0.25">
      <c r="B29" s="193" t="s">
        <v>164</v>
      </c>
      <c r="C29" s="65" t="s">
        <v>165</v>
      </c>
      <c r="D29" s="93" t="s">
        <v>166</v>
      </c>
      <c r="E29" s="65" t="s">
        <v>169</v>
      </c>
      <c r="F29" s="71">
        <f>'FE-Manutenção'!$J$17*10^-3</f>
        <v>1.0343110806919102E-3</v>
      </c>
      <c r="G29" s="67" t="s">
        <v>170</v>
      </c>
      <c r="H29" s="66">
        <f>$F$29*'Inserção de dados_Linhas'!$E$9*'Inserção de dados_Linhas'!$D$15</f>
        <v>18.152159466143022</v>
      </c>
      <c r="I29" s="94" t="s">
        <v>126</v>
      </c>
      <c r="J29" s="33" t="s">
        <v>127</v>
      </c>
      <c r="L29" s="64"/>
    </row>
    <row r="30" spans="2:13" ht="50.1" customHeight="1" x14ac:dyDescent="0.25">
      <c r="B30" s="193" t="s">
        <v>164</v>
      </c>
      <c r="C30" s="65" t="s">
        <v>165</v>
      </c>
      <c r="D30" s="93" t="s">
        <v>166</v>
      </c>
      <c r="E30" s="65" t="s">
        <v>171</v>
      </c>
      <c r="F30" s="71">
        <f>'FE-Manutenção'!$J$18*10^-3</f>
        <v>1.1459696632666048E-3</v>
      </c>
      <c r="G30" s="67" t="s">
        <v>170</v>
      </c>
      <c r="H30" s="66">
        <f>$F$30*'Inserção de dados_Linhas'!$E$9*'Inserção de dados_Linhas'!$D$15</f>
        <v>20.111767590328913</v>
      </c>
      <c r="I30" s="94" t="s">
        <v>126</v>
      </c>
      <c r="J30" s="33" t="s">
        <v>127</v>
      </c>
      <c r="L30" s="64"/>
    </row>
    <row r="31" spans="2:13" ht="50.1" customHeight="1" x14ac:dyDescent="0.25">
      <c r="B31" s="193" t="s">
        <v>164</v>
      </c>
      <c r="C31" s="65" t="s">
        <v>165</v>
      </c>
      <c r="D31" s="93" t="s">
        <v>166</v>
      </c>
      <c r="E31" s="65" t="s">
        <v>172</v>
      </c>
      <c r="F31" s="71">
        <f>'FE-Manutenção'!$J$19*10^-3</f>
        <v>3.2594061630849226E-3</v>
      </c>
      <c r="G31" s="67" t="s">
        <v>170</v>
      </c>
      <c r="H31" s="66">
        <f>$F$31*'Inserção de dados_Linhas'!$E$9*'Inserção de dados_Linhas'!$D$15</f>
        <v>57.202578162140391</v>
      </c>
      <c r="I31" s="94" t="s">
        <v>126</v>
      </c>
      <c r="J31" s="33" t="s">
        <v>127</v>
      </c>
      <c r="L31" s="64"/>
    </row>
    <row r="32" spans="2:13" ht="50.1" customHeight="1" x14ac:dyDescent="0.25">
      <c r="B32" s="193" t="s">
        <v>164</v>
      </c>
      <c r="C32" s="65" t="s">
        <v>165</v>
      </c>
      <c r="D32" s="65" t="s">
        <v>173</v>
      </c>
      <c r="E32" s="65" t="s">
        <v>174</v>
      </c>
      <c r="F32" s="187">
        <f>'FE-Manutenção'!$J$21*10^-3</f>
        <v>4.0218041053718383E-3</v>
      </c>
      <c r="G32" s="67" t="s">
        <v>170</v>
      </c>
      <c r="H32" s="66">
        <f>('Inserção de dados_Linhas'!$E$9*100/19500)*$F$32*'Inserção de dados_Linhas'!$D$15</f>
        <v>0.36196236948346544</v>
      </c>
      <c r="I32" s="94" t="s">
        <v>126</v>
      </c>
      <c r="J32" s="33" t="s">
        <v>127</v>
      </c>
      <c r="L32" s="64"/>
    </row>
    <row r="33" spans="2:12" ht="50.1" customHeight="1" x14ac:dyDescent="0.25">
      <c r="B33" s="193" t="s">
        <v>164</v>
      </c>
      <c r="C33" s="65" t="s">
        <v>165</v>
      </c>
      <c r="D33" s="65" t="s">
        <v>175</v>
      </c>
      <c r="E33" s="65" t="s">
        <v>176</v>
      </c>
      <c r="F33" s="74">
        <f>'FE-Manutenção'!$J$16*10^-3</f>
        <v>3.2594061630849226E-3</v>
      </c>
      <c r="G33" s="67" t="s">
        <v>170</v>
      </c>
      <c r="H33" s="66">
        <f>('Inserção de dados_Linhas'!$E$9*3900/19500)*$F$33*'Inserção de dados_Linhas'!$D$15/5</f>
        <v>2.2881031264856158</v>
      </c>
      <c r="I33" s="94" t="s">
        <v>126</v>
      </c>
      <c r="J33" s="33" t="s">
        <v>127</v>
      </c>
      <c r="L33" s="64"/>
    </row>
    <row r="34" spans="2:12" s="86" customFormat="1" ht="50.1" customHeight="1" x14ac:dyDescent="0.25">
      <c r="B34" s="193" t="s">
        <v>164</v>
      </c>
      <c r="C34" s="65" t="s">
        <v>165</v>
      </c>
      <c r="D34" s="65" t="s">
        <v>177</v>
      </c>
      <c r="E34" s="65" t="s">
        <v>174</v>
      </c>
      <c r="F34" s="74">
        <f>'FE-Manutenção'!$J$22*10^-3</f>
        <v>1.3008584931521778E-2</v>
      </c>
      <c r="G34" s="67" t="s">
        <v>170</v>
      </c>
      <c r="H34" s="66">
        <f>('Inserção de dados_Linhas'!$E$9*230/19500)*$F$34*'Inserção de dados_Linhas'!$D$15</f>
        <v>2.692777080825008</v>
      </c>
      <c r="I34" s="94" t="s">
        <v>126</v>
      </c>
      <c r="J34" s="33" t="s">
        <v>127</v>
      </c>
      <c r="L34" s="87"/>
    </row>
    <row r="35" spans="2:12" ht="50.1" customHeight="1" x14ac:dyDescent="0.25">
      <c r="B35" s="193" t="s">
        <v>164</v>
      </c>
      <c r="C35" s="65" t="s">
        <v>165</v>
      </c>
      <c r="D35" s="93" t="s">
        <v>178</v>
      </c>
      <c r="E35" s="65" t="s">
        <v>179</v>
      </c>
      <c r="F35" s="65">
        <f>$H$23+(15%*$H$26)</f>
        <v>443.04658200000006</v>
      </c>
      <c r="G35" s="67" t="s">
        <v>120</v>
      </c>
      <c r="H35" s="68">
        <f>Table1[[#This Row],[Fator de emissão (FE)]]</f>
        <v>443.04658200000006</v>
      </c>
      <c r="I35" s="94" t="s">
        <v>126</v>
      </c>
      <c r="J35" s="188" t="s">
        <v>180</v>
      </c>
      <c r="K35" s="64"/>
    </row>
    <row r="36" spans="2:12" ht="50.1" customHeight="1" x14ac:dyDescent="0.25">
      <c r="B36" s="193" t="s">
        <v>164</v>
      </c>
      <c r="C36" s="65" t="s">
        <v>165</v>
      </c>
      <c r="D36" s="93" t="s">
        <v>178</v>
      </c>
      <c r="E36" s="65" t="s">
        <v>181</v>
      </c>
      <c r="F36" s="74">
        <f>((1.87*10^-2)+(1.01*10^-1))*10^-3</f>
        <v>1.1970000000000001E-4</v>
      </c>
      <c r="G36" s="65" t="s">
        <v>150</v>
      </c>
      <c r="H36" s="68">
        <f>Table1[[#This Row],[Fator de emissão (FE)]]*'Inserção de dados_Linhas'!$G$18</f>
        <v>0.38280060000000005</v>
      </c>
      <c r="I36" s="67" t="s">
        <v>151</v>
      </c>
      <c r="J36" s="33" t="s">
        <v>127</v>
      </c>
      <c r="K36" s="64"/>
    </row>
    <row r="37" spans="2:12" ht="50.1" customHeight="1" x14ac:dyDescent="0.25">
      <c r="B37" s="193" t="s">
        <v>164</v>
      </c>
      <c r="C37" s="65" t="s">
        <v>165</v>
      </c>
      <c r="D37" s="93" t="s">
        <v>182</v>
      </c>
      <c r="E37" s="263" t="s">
        <v>183</v>
      </c>
      <c r="F37" s="262" t="s">
        <v>12</v>
      </c>
      <c r="G37" s="67" t="s">
        <v>120</v>
      </c>
      <c r="H37" s="68">
        <f>'FE-FxServ-EmissõesExploração'!$O$5*(10^-3)*('Inserção de dados_Linhas'!$D$15/3)</f>
        <v>0</v>
      </c>
      <c r="I37" s="94" t="s">
        <v>126</v>
      </c>
      <c r="J37" s="33" t="s">
        <v>127</v>
      </c>
      <c r="K37" s="64"/>
    </row>
    <row r="38" spans="2:12" ht="50.1" customHeight="1" x14ac:dyDescent="0.25">
      <c r="B38" s="193" t="s">
        <v>164</v>
      </c>
      <c r="C38" s="65" t="s">
        <v>165</v>
      </c>
      <c r="D38" s="93" t="s">
        <v>182</v>
      </c>
      <c r="E38" s="67" t="s">
        <v>184</v>
      </c>
      <c r="F38" s="262" t="s">
        <v>12</v>
      </c>
      <c r="G38" s="67" t="s">
        <v>120</v>
      </c>
      <c r="H38" s="68">
        <f>'FE-FxServ-EmissõesExploração'!$O$14*(10^-3)*('Inserção de dados_Linhas'!$D$15/3)</f>
        <v>8.0570809399237859</v>
      </c>
      <c r="I38" s="94" t="s">
        <v>126</v>
      </c>
      <c r="J38" s="33" t="s">
        <v>127</v>
      </c>
      <c r="K38" s="64"/>
    </row>
    <row r="39" spans="2:12" ht="50.1" customHeight="1" x14ac:dyDescent="0.25">
      <c r="B39" s="193" t="s">
        <v>164</v>
      </c>
      <c r="C39" s="65" t="s">
        <v>165</v>
      </c>
      <c r="D39" s="93" t="s">
        <v>182</v>
      </c>
      <c r="E39" s="66" t="s">
        <v>185</v>
      </c>
      <c r="F39" s="262" t="s">
        <v>12</v>
      </c>
      <c r="G39" s="67" t="s">
        <v>120</v>
      </c>
      <c r="H39" s="68">
        <f>'FE-FxServ-EmissõesExploração'!$O$22*(10^-3)*('Inserção de dados_Linhas'!$D$15/3)</f>
        <v>0</v>
      </c>
      <c r="I39" s="94" t="s">
        <v>126</v>
      </c>
      <c r="J39" s="33" t="s">
        <v>127</v>
      </c>
    </row>
    <row r="40" spans="2:12" ht="50.1" customHeight="1" x14ac:dyDescent="0.25">
      <c r="B40" s="193" t="s">
        <v>164</v>
      </c>
      <c r="C40" s="65" t="s">
        <v>165</v>
      </c>
      <c r="D40" s="93" t="s">
        <v>182</v>
      </c>
      <c r="E40" s="68" t="s">
        <v>186</v>
      </c>
      <c r="F40" s="262" t="s">
        <v>12</v>
      </c>
      <c r="G40" s="67" t="s">
        <v>120</v>
      </c>
      <c r="H40" s="68">
        <f>'FE-FxServ-EmissõesExploração'!$O$24*(10^-3)*('Inserção de dados_Linhas'!$D$15/3)</f>
        <v>0</v>
      </c>
      <c r="I40" s="94" t="s">
        <v>126</v>
      </c>
      <c r="J40" s="33" t="s">
        <v>127</v>
      </c>
      <c r="K40" s="64"/>
    </row>
    <row r="41" spans="2:12" ht="50.1" customHeight="1" x14ac:dyDescent="0.25">
      <c r="B41" s="193" t="s">
        <v>164</v>
      </c>
      <c r="C41" s="65" t="s">
        <v>165</v>
      </c>
      <c r="D41" s="93" t="s">
        <v>182</v>
      </c>
      <c r="E41" s="67" t="s">
        <v>187</v>
      </c>
      <c r="F41" s="262" t="s">
        <v>12</v>
      </c>
      <c r="G41" s="67" t="s">
        <v>120</v>
      </c>
      <c r="H41" s="68">
        <f>'FE-FxServ-EmissõesExploração'!$O$29*(10^-3)*('Inserção de dados_Linhas'!$D$15/3)</f>
        <v>1908.0043072601979</v>
      </c>
      <c r="I41" s="94" t="s">
        <v>126</v>
      </c>
      <c r="J41" s="33" t="s">
        <v>127</v>
      </c>
    </row>
    <row r="42" spans="2:12" ht="50.1" customHeight="1" x14ac:dyDescent="0.25">
      <c r="B42" s="193" t="s">
        <v>164</v>
      </c>
      <c r="C42" s="65" t="s">
        <v>165</v>
      </c>
      <c r="D42" s="93" t="s">
        <v>182</v>
      </c>
      <c r="E42" s="263" t="s">
        <v>188</v>
      </c>
      <c r="F42" s="262" t="s">
        <v>12</v>
      </c>
      <c r="G42" s="67" t="s">
        <v>120</v>
      </c>
      <c r="H42" s="68">
        <f>'FE-FxServ-EmissõesExploração'!$O$39*(10^-3)*('Inserção de dados_Linhas'!$D$15/3)</f>
        <v>298.42109815464022</v>
      </c>
      <c r="I42" s="94" t="s">
        <v>126</v>
      </c>
      <c r="J42" s="33" t="s">
        <v>127</v>
      </c>
      <c r="K42" s="64"/>
    </row>
    <row r="43" spans="2:12" s="86" customFormat="1" ht="50.1" customHeight="1" x14ac:dyDescent="0.25">
      <c r="B43" s="193" t="s">
        <v>164</v>
      </c>
      <c r="C43" s="65" t="s">
        <v>165</v>
      </c>
      <c r="D43" s="93" t="s">
        <v>182</v>
      </c>
      <c r="E43" s="94" t="s">
        <v>189</v>
      </c>
      <c r="F43" s="262" t="s">
        <v>12</v>
      </c>
      <c r="G43" s="67" t="s">
        <v>120</v>
      </c>
      <c r="H43" s="68">
        <f>'FE-FxServ-EmissõesExploração'!$O$40*(10^-3)*('Inserção de dados_Linhas'!$D$15/3)</f>
        <v>0</v>
      </c>
      <c r="I43" s="94" t="s">
        <v>126</v>
      </c>
      <c r="J43" s="33" t="s">
        <v>127</v>
      </c>
      <c r="K43" s="87"/>
    </row>
    <row r="44" spans="2:12" s="86" customFormat="1" ht="50.1" customHeight="1" x14ac:dyDescent="0.25">
      <c r="B44" s="193" t="s">
        <v>164</v>
      </c>
      <c r="C44" s="65" t="s">
        <v>165</v>
      </c>
      <c r="D44" s="93" t="s">
        <v>182</v>
      </c>
      <c r="E44" s="94" t="s">
        <v>190</v>
      </c>
      <c r="F44" s="262" t="s">
        <v>12</v>
      </c>
      <c r="G44" s="67" t="s">
        <v>120</v>
      </c>
      <c r="H44" s="68">
        <f>'FE-FxServ-EmissõesExploração'!$O$43*(10^-3)*('Inserção de dados_Linhas'!$D$15/3)</f>
        <v>0</v>
      </c>
      <c r="I44" s="94" t="s">
        <v>126</v>
      </c>
      <c r="J44" s="33" t="s">
        <v>127</v>
      </c>
      <c r="K44" s="87"/>
    </row>
    <row r="45" spans="2:12" s="86" customFormat="1" ht="50.1" customHeight="1" x14ac:dyDescent="0.25">
      <c r="B45" s="193" t="s">
        <v>164</v>
      </c>
      <c r="C45" s="65" t="s">
        <v>165</v>
      </c>
      <c r="D45" s="93" t="s">
        <v>182</v>
      </c>
      <c r="E45" s="94" t="s">
        <v>191</v>
      </c>
      <c r="F45" s="262" t="s">
        <v>12</v>
      </c>
      <c r="G45" s="67" t="s">
        <v>120</v>
      </c>
      <c r="H45" s="68">
        <f>'FE-FxServ-EmissõesExploração'!$O$44*(10^-3)*('Inserção de dados_Linhas'!$D$15/3)</f>
        <v>0</v>
      </c>
      <c r="I45" s="94" t="s">
        <v>126</v>
      </c>
      <c r="J45" s="33" t="s">
        <v>127</v>
      </c>
      <c r="K45" s="87"/>
    </row>
    <row r="46" spans="2:12" s="86" customFormat="1" ht="50.1" customHeight="1" x14ac:dyDescent="0.25">
      <c r="B46" s="193" t="s">
        <v>164</v>
      </c>
      <c r="C46" s="93" t="s">
        <v>182</v>
      </c>
      <c r="D46" s="93" t="s">
        <v>192</v>
      </c>
      <c r="E46" s="65" t="s">
        <v>193</v>
      </c>
      <c r="F46" s="66">
        <f>'FE-Emissões Evitadas'!$F$45</f>
        <v>916154.24727273511</v>
      </c>
      <c r="G46" s="67" t="s">
        <v>120</v>
      </c>
      <c r="H46" s="66">
        <f>-Table1[[#This Row],[Fator de emissão (FE)]]</f>
        <v>-916154.24727273511</v>
      </c>
      <c r="I46" s="67" t="s">
        <v>194</v>
      </c>
      <c r="J46" s="33" t="s">
        <v>127</v>
      </c>
      <c r="K46" s="87"/>
    </row>
    <row r="47" spans="2:12" s="86" customFormat="1" ht="50.1" customHeight="1" x14ac:dyDescent="0.25">
      <c r="B47" s="193" t="s">
        <v>117</v>
      </c>
      <c r="C47" s="65" t="s">
        <v>118</v>
      </c>
      <c r="D47" s="65" t="s">
        <v>118</v>
      </c>
      <c r="E47" s="65" t="s">
        <v>195</v>
      </c>
      <c r="F47" s="65"/>
      <c r="G47" s="67" t="s">
        <v>120</v>
      </c>
      <c r="H47" s="338">
        <f>'Inserção de dados_Linhas'!L52</f>
        <v>807646.38690872258</v>
      </c>
      <c r="I47" s="94" t="s">
        <v>196</v>
      </c>
      <c r="J47" s="33"/>
      <c r="K47" s="87"/>
    </row>
    <row r="48" spans="2:12" s="86" customFormat="1" ht="50.1" customHeight="1" x14ac:dyDescent="0.25">
      <c r="B48" s="193" t="s">
        <v>117</v>
      </c>
      <c r="C48" s="65" t="s">
        <v>118</v>
      </c>
      <c r="D48" s="65" t="s">
        <v>118</v>
      </c>
      <c r="E48" s="65" t="s">
        <v>197</v>
      </c>
      <c r="F48" s="65"/>
      <c r="G48" s="67" t="s">
        <v>120</v>
      </c>
      <c r="H48" s="338">
        <f>'Inserção de dados_Linhas'!M52</f>
        <v>-239634.07434577253</v>
      </c>
      <c r="I48" s="94" t="s">
        <v>196</v>
      </c>
      <c r="J48" s="33"/>
      <c r="K48" s="87"/>
    </row>
    <row r="49" spans="2:12" s="86" customFormat="1" ht="50.1" customHeight="1" x14ac:dyDescent="0.25">
      <c r="B49" s="270"/>
      <c r="C49" s="84" t="s">
        <v>199</v>
      </c>
      <c r="D49" s="65" t="s">
        <v>138</v>
      </c>
      <c r="E49" s="65" t="s">
        <v>139</v>
      </c>
      <c r="F49" s="273">
        <f>30*10^-3</f>
        <v>0.03</v>
      </c>
      <c r="G49" s="65" t="s">
        <v>140</v>
      </c>
      <c r="H49" s="339">
        <f>Table1[[#This Row],[Fator de emissão (FE)]]*'Inserção de dados_Linhas'!$C$24</f>
        <v>2.544</v>
      </c>
      <c r="I49" s="94" t="s">
        <v>141</v>
      </c>
      <c r="J49" s="33" t="s">
        <v>127</v>
      </c>
      <c r="K49" s="87"/>
    </row>
    <row r="50" spans="2:12" s="86" customFormat="1" ht="50.1" customHeight="1" x14ac:dyDescent="0.25">
      <c r="B50" s="270"/>
      <c r="C50" s="84" t="s">
        <v>199</v>
      </c>
      <c r="D50" s="65" t="s">
        <v>138</v>
      </c>
      <c r="E50" s="65" t="s">
        <v>142</v>
      </c>
      <c r="F50" s="273">
        <f>-29.5*10^-3</f>
        <v>-2.9500000000000002E-2</v>
      </c>
      <c r="G50" s="65" t="s">
        <v>143</v>
      </c>
      <c r="H50" s="339">
        <f>Table1[[#This Row],[Fator de emissão (FE)]]*'Inserção de dados_Linhas'!$D$24</f>
        <v>-0.28320000000000001</v>
      </c>
      <c r="I50" s="94" t="s">
        <v>144</v>
      </c>
      <c r="J50" s="33" t="s">
        <v>127</v>
      </c>
      <c r="K50" s="87"/>
    </row>
    <row r="51" spans="2:12" s="86" customFormat="1" ht="50.1" customHeight="1" x14ac:dyDescent="0.25">
      <c r="B51" s="270"/>
      <c r="C51" s="84" t="s">
        <v>199</v>
      </c>
      <c r="D51" s="65" t="s">
        <v>138</v>
      </c>
      <c r="E51" s="65" t="s">
        <v>145</v>
      </c>
      <c r="F51" s="273">
        <f>112*10^-3</f>
        <v>0.112</v>
      </c>
      <c r="G51" s="65" t="s">
        <v>143</v>
      </c>
      <c r="H51" s="339">
        <f>Table1[[#This Row],[Fator de emissão (FE)]]*'Inserção de dados_Linhas'!$E$24</f>
        <v>0</v>
      </c>
      <c r="I51" s="94" t="s">
        <v>146</v>
      </c>
      <c r="J51" s="33" t="s">
        <v>127</v>
      </c>
      <c r="K51" s="87"/>
    </row>
    <row r="52" spans="2:12" s="86" customFormat="1" ht="50.1" customHeight="1" x14ac:dyDescent="0.25">
      <c r="B52" s="270"/>
      <c r="C52" s="84" t="s">
        <v>199</v>
      </c>
      <c r="D52" s="65" t="s">
        <v>138</v>
      </c>
      <c r="E52" s="65" t="s">
        <v>147</v>
      </c>
      <c r="F52" s="273">
        <v>5.45E-2</v>
      </c>
      <c r="G52" s="65" t="s">
        <v>143</v>
      </c>
      <c r="H52" s="339">
        <f>Table1[[#This Row],[Fator de emissão (FE)]]*'Inserção de dados_Linhas'!$F$24</f>
        <v>0.17984999999999998</v>
      </c>
      <c r="I52" s="67" t="s">
        <v>148</v>
      </c>
      <c r="J52" s="33" t="s">
        <v>127</v>
      </c>
      <c r="K52" s="87"/>
    </row>
    <row r="53" spans="2:12" s="86" customFormat="1" ht="50.1" customHeight="1" x14ac:dyDescent="0.25">
      <c r="B53" s="270"/>
      <c r="C53" s="84" t="s">
        <v>199</v>
      </c>
      <c r="D53" s="65" t="s">
        <v>138</v>
      </c>
      <c r="E53" s="65" t="s">
        <v>149</v>
      </c>
      <c r="F53" s="273">
        <f>0.1197*10^-3</f>
        <v>1.1970000000000001E-4</v>
      </c>
      <c r="G53" s="65" t="s">
        <v>150</v>
      </c>
      <c r="H53" s="339">
        <f>Table1[[#This Row],[Fator de emissão (FE)]]*'Inserção de dados_Linhas'!$G$24</f>
        <v>7.1820000000000009E-3</v>
      </c>
      <c r="I53" s="67" t="s">
        <v>151</v>
      </c>
      <c r="J53" s="33" t="s">
        <v>127</v>
      </c>
      <c r="K53" s="87"/>
    </row>
    <row r="54" spans="2:12" s="86" customFormat="1" ht="50.1" customHeight="1" x14ac:dyDescent="0.25">
      <c r="B54" s="194" t="s">
        <v>198</v>
      </c>
      <c r="C54" s="84" t="s">
        <v>199</v>
      </c>
      <c r="D54" s="84" t="s">
        <v>200</v>
      </c>
      <c r="E54" s="65" t="s">
        <v>159</v>
      </c>
      <c r="F54" s="70">
        <v>10.547000000000001</v>
      </c>
      <c r="G54" s="85" t="s">
        <v>120</v>
      </c>
      <c r="H54" s="340">
        <f>F54*'Inserção de dados_Linhas'!D21</f>
        <v>18.9846</v>
      </c>
      <c r="I54" s="67" t="s">
        <v>161</v>
      </c>
      <c r="J54" s="189" t="s">
        <v>162</v>
      </c>
      <c r="K54" s="87"/>
    </row>
    <row r="55" spans="2:12" ht="50.1" customHeight="1" x14ac:dyDescent="0.25">
      <c r="B55" s="193" t="s">
        <v>136</v>
      </c>
      <c r="C55" s="84" t="s">
        <v>199</v>
      </c>
      <c r="D55" s="65" t="s">
        <v>158</v>
      </c>
      <c r="E55" s="65" t="s">
        <v>163</v>
      </c>
      <c r="F55" s="70">
        <v>23.6</v>
      </c>
      <c r="G55" s="70" t="s">
        <v>120</v>
      </c>
      <c r="H55" s="68">
        <f>$F$27</f>
        <v>23.6</v>
      </c>
      <c r="I55" s="67" t="s">
        <v>161</v>
      </c>
      <c r="J55" s="189" t="s">
        <v>162</v>
      </c>
    </row>
    <row r="56" spans="2:12" s="86" customFormat="1" x14ac:dyDescent="0.25">
      <c r="B56" s="59"/>
      <c r="C56" s="59"/>
      <c r="D56" s="59"/>
      <c r="E56" s="59"/>
      <c r="F56" s="59"/>
      <c r="G56" s="59"/>
      <c r="H56" s="59"/>
      <c r="I56" s="59"/>
      <c r="J56" s="59"/>
      <c r="K56" s="87"/>
    </row>
    <row r="57" spans="2:12" s="86" customFormat="1" x14ac:dyDescent="0.25">
      <c r="B57" s="59"/>
      <c r="C57" s="72"/>
      <c r="D57" s="72"/>
      <c r="E57" s="72"/>
      <c r="F57" s="72"/>
      <c r="G57" s="59"/>
      <c r="H57" s="64"/>
      <c r="I57" s="59"/>
      <c r="J57" s="59"/>
      <c r="K57" s="87"/>
    </row>
    <row r="58" spans="2:12" s="86" customFormat="1" x14ac:dyDescent="0.25">
      <c r="B58" s="59"/>
      <c r="C58" s="59"/>
      <c r="D58" s="59"/>
      <c r="E58" s="59"/>
      <c r="F58" s="59"/>
      <c r="G58" s="59"/>
      <c r="H58" s="59"/>
      <c r="I58" s="59"/>
      <c r="J58" s="59"/>
      <c r="K58" s="87"/>
    </row>
    <row r="59" spans="2:12" x14ac:dyDescent="0.25">
      <c r="H59" s="73"/>
    </row>
    <row r="62" spans="2:12" x14ac:dyDescent="0.25">
      <c r="L62" s="100"/>
    </row>
    <row r="63" spans="2:12" x14ac:dyDescent="0.25">
      <c r="K63" s="100"/>
    </row>
    <row r="64" spans="2:12" x14ac:dyDescent="0.25">
      <c r="K64" s="100"/>
    </row>
    <row r="65" spans="11:11" x14ac:dyDescent="0.25">
      <c r="K65" s="100"/>
    </row>
    <row r="66" spans="11:11" x14ac:dyDescent="0.25">
      <c r="K66" s="100"/>
    </row>
  </sheetData>
  <sheetProtection algorithmName="SHA-512" hashValue="qEJQTu2IvB+4MSfXga71A+kKwfdYP8cb/HhB1+7dB0ucA5Xac30XShOxfqouhO37PWgedrE9Y7GRkluycwVnEQ==" saltValue="ugZNUuEujSJ/lZqngo73oQ==" spinCount="100000" sheet="1" objects="1" scenarios="1"/>
  <mergeCells count="3">
    <mergeCell ref="L8:M8"/>
    <mergeCell ref="A1:J1"/>
    <mergeCell ref="B6:J6"/>
  </mergeCells>
  <hyperlinks>
    <hyperlink ref="J10" location="FxServEmiEst" display="Clique aqui" xr:uid="{00000000-0004-0000-0300-000000000000}"/>
    <hyperlink ref="J11" location="FxServEmiEst" display="Clique aqui" xr:uid="{00000000-0004-0000-0300-000001000000}"/>
    <hyperlink ref="J12" location="FxServEmiEst" display="Clique aqui" xr:uid="{00000000-0004-0000-0300-000002000000}"/>
    <hyperlink ref="J13" location="FxServEmiEst" display="Clique aqui" xr:uid="{00000000-0004-0000-0300-000003000000}"/>
    <hyperlink ref="J14" location="FxServEmiEst" display="Clique aqui" xr:uid="{00000000-0004-0000-0300-000004000000}"/>
    <hyperlink ref="J15" location="FxServEmiEst" display="Clique aqui" xr:uid="{00000000-0004-0000-0300-000005000000}"/>
    <hyperlink ref="J16" location="FxServEmiEst" display="Clique aqui" xr:uid="{00000000-0004-0000-0300-000006000000}"/>
    <hyperlink ref="J17" location="FxServEmiEst" display="Clique aqui" xr:uid="{00000000-0004-0000-0300-000007000000}"/>
    <hyperlink ref="J18" location="FxServEmiEst" display="Clique aqui" xr:uid="{00000000-0004-0000-0300-000008000000}"/>
    <hyperlink ref="J19" location="'FE-DAP'!Metalogalva" display="Clique aqui" xr:uid="{00000000-0004-0000-0300-000009000000}"/>
    <hyperlink ref="J20" location="'FE-DAP'!ACSRcabo" display="Clique aqui" xr:uid="{00000000-0004-0000-0300-00000A000000}"/>
    <hyperlink ref="J21" location="'FE-DAP'!OPGW" display="Clique aqui" xr:uid="{00000000-0004-0000-0300-00000B000000}"/>
    <hyperlink ref="J22" location="'FE-DAP'!ACSRiproeb" display="Clique aqui" xr:uid="{00000000-0004-0000-0300-00000C000000}"/>
    <hyperlink ref="J23" location="'FE-DAP'!Isoladores" display="Clique aqui" xr:uid="{00000000-0004-0000-0300-00000D000000}"/>
    <hyperlink ref="J24" r:id="rId1" display="https://www.secil-group.com/content/dam/secilInstitucional/documentos/pt/documentos/relatorios-de-sustentabilidade/Relat%C3%B3rio_Anual_2023.pdf" xr:uid="{00000000-0004-0000-0300-00000E000000}"/>
    <hyperlink ref="J25" r:id="rId2" xr:uid="{00000000-0004-0000-0300-00000F000000}"/>
    <hyperlink ref="J28" location="'FE-Manutenção'!Manutenção" display="Clique aqui" xr:uid="{00000000-0004-0000-0300-000010000000}"/>
    <hyperlink ref="J29" location="'FE-Manutenção'!Manutenção" display="Clique aqui" xr:uid="{00000000-0004-0000-0300-000011000000}"/>
    <hyperlink ref="J30" location="'FE-Manutenção'!Manutenção" display="Clique aqui" xr:uid="{00000000-0004-0000-0300-000012000000}"/>
    <hyperlink ref="J31" location="'FE-Manutenção'!Manutenção" display="Clique aqui" xr:uid="{00000000-0004-0000-0300-000013000000}"/>
    <hyperlink ref="J32" location="'FE-Manutenção'!Manutenção" display="Clique aqui" xr:uid="{00000000-0004-0000-0300-000014000000}"/>
    <hyperlink ref="J33" location="'FE-Manutenção'!Manutenção" display="Clique aqui" xr:uid="{00000000-0004-0000-0300-000015000000}"/>
    <hyperlink ref="J34" location="'FE-Manutenção'!Manutenção" display="Clique aqui" xr:uid="{00000000-0004-0000-0300-000016000000}"/>
    <hyperlink ref="J36" location="'FE-DAP'!Isoladores" display="Clique aqui" xr:uid="{00000000-0004-0000-0300-000017000000}"/>
    <hyperlink ref="J37" location="FEFxServExpl" display="Clique aqui" xr:uid="{00000000-0004-0000-0300-000018000000}"/>
    <hyperlink ref="J38" location="FEFxServExpl" display="Clique aqui" xr:uid="{00000000-0004-0000-0300-000019000000}"/>
    <hyperlink ref="J39" location="FEFxServExpl" display="Clique aqui" xr:uid="{00000000-0004-0000-0300-00001A000000}"/>
    <hyperlink ref="J40" location="FEFxServExpl" display="Clique aqui" xr:uid="{00000000-0004-0000-0300-00001B000000}"/>
    <hyperlink ref="J41" location="FEFxServExpl" display="Clique aqui" xr:uid="{00000000-0004-0000-0300-00001C000000}"/>
    <hyperlink ref="J42" location="FEFxServExpl" display="Clique aqui" xr:uid="{00000000-0004-0000-0300-00001D000000}"/>
    <hyperlink ref="J43" location="FEFxServExpl" display="Clique aqui" xr:uid="{00000000-0004-0000-0300-00001E000000}"/>
    <hyperlink ref="J44" location="FEFxServExpl" display="Clique aqui" xr:uid="{00000000-0004-0000-0300-00001F000000}"/>
    <hyperlink ref="J45" location="FEFxServExpl" display="Clique aqui" xr:uid="{00000000-0004-0000-0300-000020000000}"/>
    <hyperlink ref="J46" location="'FE-Emissões Evitadas'!EmissEvit" display="Clique aqui" xr:uid="{00000000-0004-0000-0300-000021000000}"/>
    <hyperlink ref="J49" location="'FE-DAP'!Metalogalva" display="Clique aqui" xr:uid="{63339386-8BC3-44C8-94F3-49ACCB4E71CC}"/>
    <hyperlink ref="J50" location="'FE-DAP'!ACSRcabo" display="Clique aqui" xr:uid="{AED9AE41-A131-4FA7-B5C4-7DD5E721DA8C}"/>
    <hyperlink ref="J51" location="'FE-DAP'!OPGW" display="Clique aqui" xr:uid="{3A12EBFB-67C0-49C0-8C14-BCACE6320416}"/>
    <hyperlink ref="J52" location="'FE-DAP'!ACSRiproeb" display="Clique aqui" xr:uid="{DD79398B-9B38-404A-B96E-822E70C2DBBC}"/>
    <hyperlink ref="J53" location="'FE-DAP'!Isoladores" display="Clique aqui" xr:uid="{6727EDD6-A7E4-4D31-A51C-21254D4ACC98}"/>
  </hyperlinks>
  <pageMargins left="0.7" right="0.7" top="0.75" bottom="0.75" header="0.3" footer="0.3"/>
  <pageSetup paperSize="9" orientation="portrait"/>
  <drawing r:id="rId3"/>
  <tableParts count="1"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olha5">
    <tabColor theme="9" tint="0.39997558519241921"/>
  </sheetPr>
  <dimension ref="A1:M68"/>
  <sheetViews>
    <sheetView showGridLines="0" topLeftCell="A18" zoomScale="70" zoomScaleNormal="70" workbookViewId="0">
      <selection activeCell="C53" sqref="C53"/>
    </sheetView>
  </sheetViews>
  <sheetFormatPr defaultColWidth="8.7109375" defaultRowHeight="15" x14ac:dyDescent="0.25"/>
  <cols>
    <col min="2" max="2" width="88.140625" bestFit="1" customWidth="1"/>
    <col min="3" max="3" width="37.5703125" bestFit="1" customWidth="1"/>
    <col min="4" max="4" width="22.85546875" bestFit="1" customWidth="1"/>
    <col min="5" max="5" width="17.85546875" customWidth="1"/>
    <col min="6" max="6" width="12.28515625" customWidth="1"/>
    <col min="7" max="7" width="11.5703125" bestFit="1" customWidth="1"/>
    <col min="8" max="8" width="34.140625" bestFit="1" customWidth="1"/>
    <col min="9" max="9" width="20.5703125" bestFit="1" customWidth="1"/>
    <col min="10" max="10" width="27.140625" bestFit="1" customWidth="1"/>
    <col min="11" max="11" width="4.85546875" customWidth="1"/>
    <col min="12" max="12" width="16.140625" bestFit="1" customWidth="1"/>
    <col min="13" max="13" width="15.140625" bestFit="1" customWidth="1"/>
    <col min="14" max="14" width="37.85546875" bestFit="1" customWidth="1"/>
    <col min="15" max="15" width="33.85546875" bestFit="1" customWidth="1"/>
    <col min="16" max="16" width="22.140625" bestFit="1" customWidth="1"/>
    <col min="17" max="17" width="9.42578125" bestFit="1" customWidth="1"/>
    <col min="18" max="18" width="20.140625" bestFit="1" customWidth="1"/>
    <col min="19" max="19" width="11.140625" bestFit="1" customWidth="1"/>
    <col min="20" max="20" width="22.85546875" bestFit="1" customWidth="1"/>
    <col min="21" max="21" width="15.42578125" bestFit="1" customWidth="1"/>
    <col min="22" max="22" width="24.85546875" bestFit="1" customWidth="1"/>
    <col min="23" max="23" width="11.5703125" bestFit="1" customWidth="1"/>
    <col min="24" max="24" width="12.42578125" bestFit="1" customWidth="1"/>
    <col min="25" max="25" width="20.5703125" bestFit="1" customWidth="1"/>
    <col min="26" max="26" width="20.42578125" bestFit="1" customWidth="1"/>
    <col min="27" max="27" width="4.85546875" customWidth="1"/>
    <col min="28" max="28" width="16.140625" bestFit="1" customWidth="1"/>
    <col min="29" max="29" width="15.140625" bestFit="1" customWidth="1"/>
    <col min="30" max="30" width="37.85546875" bestFit="1" customWidth="1"/>
    <col min="31" max="31" width="33.85546875" bestFit="1" customWidth="1"/>
    <col min="32" max="32" width="27.140625" bestFit="1" customWidth="1"/>
    <col min="33" max="33" width="26.85546875" bestFit="1" customWidth="1"/>
  </cols>
  <sheetData>
    <row r="1" spans="1:12" s="202" customFormat="1" ht="18.600000000000001" customHeight="1" x14ac:dyDescent="0.25">
      <c r="A1" s="534" t="s">
        <v>201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</row>
    <row r="2" spans="1:12" ht="24.95" customHeight="1" x14ac:dyDescent="0.25">
      <c r="D2" s="197"/>
    </row>
    <row r="3" spans="1:12" ht="14.45" customHeight="1" x14ac:dyDescent="0.25"/>
    <row r="4" spans="1:12" x14ac:dyDescent="0.25">
      <c r="E4" s="102"/>
      <c r="F4" s="102"/>
      <c r="G4" s="102"/>
      <c r="H4" s="102"/>
      <c r="I4" s="102"/>
    </row>
    <row r="5" spans="1:12" ht="16.5" customHeight="1" x14ac:dyDescent="0.25">
      <c r="B5" s="103" t="s">
        <v>202</v>
      </c>
      <c r="C5" s="104" t="s">
        <v>203</v>
      </c>
      <c r="D5" s="105"/>
    </row>
    <row r="6" spans="1:12" x14ac:dyDescent="0.25">
      <c r="B6" s="106" t="s">
        <v>122</v>
      </c>
      <c r="C6" s="336">
        <f>C8</f>
        <v>632.65425126645425</v>
      </c>
      <c r="D6" s="108"/>
      <c r="E6" s="109"/>
      <c r="I6" s="110"/>
    </row>
    <row r="7" spans="1:12" x14ac:dyDescent="0.25">
      <c r="B7" s="111" t="s">
        <v>20</v>
      </c>
      <c r="C7" s="337"/>
      <c r="D7" s="112"/>
      <c r="E7" s="102"/>
      <c r="I7" s="110"/>
    </row>
    <row r="8" spans="1:12" x14ac:dyDescent="0.25">
      <c r="B8" s="115" t="s">
        <v>204</v>
      </c>
      <c r="C8" s="337">
        <f>SUM(C9:C17)</f>
        <v>632.65425126645425</v>
      </c>
      <c r="D8" s="112"/>
      <c r="E8" s="102"/>
      <c r="I8" s="102"/>
    </row>
    <row r="9" spans="1:12" x14ac:dyDescent="0.25">
      <c r="B9" s="113" t="s">
        <v>183</v>
      </c>
      <c r="C9" s="335">
        <f>'Ferramenta de cálculo_Linhas'!H10</f>
        <v>0</v>
      </c>
      <c r="D9" s="112"/>
      <c r="E9" s="102"/>
      <c r="I9" s="102"/>
    </row>
    <row r="10" spans="1:12" x14ac:dyDescent="0.25">
      <c r="B10" s="113" t="s">
        <v>184</v>
      </c>
      <c r="C10" s="335">
        <f>'Ferramenta de cálculo_Linhas'!H11</f>
        <v>0.48342485639542709</v>
      </c>
      <c r="D10" s="112"/>
      <c r="E10" s="102"/>
      <c r="I10" s="102"/>
    </row>
    <row r="11" spans="1:12" x14ac:dyDescent="0.25">
      <c r="B11" s="113" t="s">
        <v>185</v>
      </c>
      <c r="C11" s="335">
        <f>'Ferramenta de cálculo_Linhas'!H12</f>
        <v>0</v>
      </c>
      <c r="D11" s="112"/>
      <c r="E11" s="102"/>
      <c r="I11" s="102"/>
    </row>
    <row r="12" spans="1:12" x14ac:dyDescent="0.25">
      <c r="B12" s="113" t="s">
        <v>186</v>
      </c>
      <c r="C12" s="335">
        <f>'Ferramenta de cálculo_Linhas'!H13</f>
        <v>0</v>
      </c>
      <c r="D12" s="112"/>
      <c r="E12" s="102"/>
      <c r="I12" s="102"/>
    </row>
    <row r="13" spans="1:12" x14ac:dyDescent="0.25">
      <c r="B13" s="113" t="s">
        <v>187</v>
      </c>
      <c r="C13" s="335">
        <f>'Ferramenta de cálculo_Linhas'!H14</f>
        <v>614.26556052078035</v>
      </c>
      <c r="D13" s="112"/>
      <c r="E13" s="102"/>
    </row>
    <row r="14" spans="1:12" ht="16.5" customHeight="1" x14ac:dyDescent="0.25">
      <c r="B14" s="113" t="s">
        <v>188</v>
      </c>
      <c r="C14" s="335">
        <f>'Ferramenta de cálculo_Linhas'!H15</f>
        <v>17.905265889278411</v>
      </c>
      <c r="D14" s="112"/>
      <c r="G14" s="103" t="s">
        <v>202</v>
      </c>
      <c r="H14" s="104" t="s">
        <v>203</v>
      </c>
    </row>
    <row r="15" spans="1:12" x14ac:dyDescent="0.25">
      <c r="B15" s="113" t="s">
        <v>189</v>
      </c>
      <c r="C15" s="335">
        <f>'Ferramenta de cálculo_Linhas'!H16</f>
        <v>0</v>
      </c>
      <c r="D15" s="112"/>
      <c r="G15" s="183" t="s">
        <v>205</v>
      </c>
      <c r="H15" s="107">
        <f>C6</f>
        <v>632.65425126645425</v>
      </c>
      <c r="I15" s="381"/>
    </row>
    <row r="16" spans="1:12" x14ac:dyDescent="0.25">
      <c r="B16" s="113" t="s">
        <v>190</v>
      </c>
      <c r="C16" s="335">
        <f>'Ferramenta de cálculo_Linhas'!H17</f>
        <v>0</v>
      </c>
      <c r="D16" s="112"/>
      <c r="G16" s="183" t="s">
        <v>206</v>
      </c>
      <c r="H16" s="107">
        <f>C18</f>
        <v>118717.98180744998</v>
      </c>
      <c r="I16" s="381"/>
    </row>
    <row r="17" spans="2:13" x14ac:dyDescent="0.25">
      <c r="B17" s="113" t="s">
        <v>191</v>
      </c>
      <c r="C17" s="335">
        <f>'Ferramenta de cálculo_Linhas'!H18</f>
        <v>0</v>
      </c>
      <c r="D17" s="112"/>
      <c r="G17" s="183" t="s">
        <v>207</v>
      </c>
      <c r="H17" s="107">
        <f>C31</f>
        <v>-913360.57962495659</v>
      </c>
      <c r="I17" s="381"/>
    </row>
    <row r="18" spans="2:13" x14ac:dyDescent="0.25">
      <c r="B18" s="106" t="s">
        <v>136</v>
      </c>
      <c r="C18" s="336">
        <f>SUM($C$20,$C$23)</f>
        <v>118717.98180744998</v>
      </c>
      <c r="D18" s="112"/>
      <c r="G18" s="259" t="s">
        <v>208</v>
      </c>
      <c r="H18" s="107">
        <f>C53</f>
        <v>612140.61078526301</v>
      </c>
      <c r="I18" s="381"/>
    </row>
    <row r="19" spans="2:13" x14ac:dyDescent="0.25">
      <c r="B19" s="111" t="s">
        <v>137</v>
      </c>
      <c r="C19" s="337"/>
      <c r="D19" s="3"/>
      <c r="G19" s="183" t="s">
        <v>209</v>
      </c>
      <c r="H19" s="107">
        <f>C58</f>
        <v>45.205100000000002</v>
      </c>
      <c r="I19" s="381"/>
    </row>
    <row r="20" spans="2:13" x14ac:dyDescent="0.25">
      <c r="B20" s="115" t="s">
        <v>158</v>
      </c>
      <c r="C20" s="337">
        <f>SUM($C$21:$C$22)</f>
        <v>1624.2127200000002</v>
      </c>
      <c r="D20" s="3"/>
      <c r="E20" s="109"/>
      <c r="G20" s="380" t="s">
        <v>103</v>
      </c>
      <c r="H20" s="75">
        <f>SUM(H15:H19)</f>
        <v>-181824.12768097714</v>
      </c>
      <c r="I20" s="381"/>
    </row>
    <row r="21" spans="2:13" x14ac:dyDescent="0.25">
      <c r="B21" s="114" t="s">
        <v>163</v>
      </c>
      <c r="C21" s="335">
        <f>'Ferramenta de cálculo_Linhas'!$H$27</f>
        <v>23.6</v>
      </c>
      <c r="D21" s="3"/>
      <c r="E21" s="109"/>
    </row>
    <row r="22" spans="2:13" x14ac:dyDescent="0.25">
      <c r="B22" s="114" t="s">
        <v>159</v>
      </c>
      <c r="C22" s="335">
        <f>'Ferramenta de cálculo_Linhas'!$H$26</f>
        <v>1600.6127200000003</v>
      </c>
      <c r="D22" s="3"/>
      <c r="E22" s="109"/>
      <c r="F22" s="102"/>
    </row>
    <row r="23" spans="2:13" x14ac:dyDescent="0.25">
      <c r="B23" s="115" t="s">
        <v>138</v>
      </c>
      <c r="C23" s="337">
        <f>SUM(C24:C30)</f>
        <v>117093.76908744998</v>
      </c>
      <c r="D23" s="3"/>
    </row>
    <row r="24" spans="2:13" x14ac:dyDescent="0.25">
      <c r="B24" s="114" t="s">
        <v>139</v>
      </c>
      <c r="C24" s="335">
        <f>'Ferramenta de cálculo_Linhas'!$H$19</f>
        <v>30133.98050845</v>
      </c>
      <c r="D24" s="3"/>
    </row>
    <row r="25" spans="2:13" x14ac:dyDescent="0.25">
      <c r="B25" s="114" t="s">
        <v>155</v>
      </c>
      <c r="C25" s="335">
        <f>'Ferramenta de cálculo_Linhas'!$H$25</f>
        <v>1731.8539999999998</v>
      </c>
      <c r="D25" s="3"/>
    </row>
    <row r="26" spans="2:13" x14ac:dyDescent="0.25">
      <c r="B26" s="114" t="s">
        <v>152</v>
      </c>
      <c r="C26" s="335">
        <f>'Ferramenta de cálculo_Linhas'!$H$24</f>
        <v>26513.111999999997</v>
      </c>
      <c r="D26" s="3"/>
      <c r="M26" s="75"/>
    </row>
    <row r="27" spans="2:13" x14ac:dyDescent="0.25">
      <c r="B27" s="114" t="s">
        <v>147</v>
      </c>
      <c r="C27" s="335">
        <f>'Ferramenta de cálculo_Linhas'!$H$22</f>
        <v>251.33750500000002</v>
      </c>
      <c r="D27" s="3"/>
      <c r="M27" s="75"/>
    </row>
    <row r="28" spans="2:13" x14ac:dyDescent="0.25">
      <c r="B28" s="114" t="s">
        <v>145</v>
      </c>
      <c r="C28" s="335">
        <f>'Ferramenta de cálculo_Linhas'!$H$21</f>
        <v>547.16039999999998</v>
      </c>
      <c r="D28" s="3"/>
    </row>
    <row r="29" spans="2:13" x14ac:dyDescent="0.25">
      <c r="B29" s="114" t="s">
        <v>210</v>
      </c>
      <c r="C29" s="335">
        <f>'Ferramenta de cálculo_Linhas'!$H$20</f>
        <v>57713.369999999995</v>
      </c>
      <c r="D29" s="3"/>
    </row>
    <row r="30" spans="2:13" x14ac:dyDescent="0.25">
      <c r="B30" s="114" t="s">
        <v>149</v>
      </c>
      <c r="C30" s="335">
        <f>'Ferramenta de cálculo_Linhas'!$H$23</f>
        <v>202.95467400000001</v>
      </c>
      <c r="D30" s="3"/>
    </row>
    <row r="31" spans="2:13" x14ac:dyDescent="0.25">
      <c r="B31" s="106" t="s">
        <v>164</v>
      </c>
      <c r="C31" s="107">
        <f>SUM(C32,C34+C43)</f>
        <v>-913360.57962495659</v>
      </c>
      <c r="D31" s="3"/>
      <c r="L31" s="75"/>
    </row>
    <row r="32" spans="2:13" x14ac:dyDescent="0.25">
      <c r="B32" s="111" t="s">
        <v>182</v>
      </c>
      <c r="C32" s="4">
        <f>SUM(C33)</f>
        <v>-916154.24727273511</v>
      </c>
      <c r="D32" s="3"/>
    </row>
    <row r="33" spans="2:5" x14ac:dyDescent="0.25">
      <c r="B33" s="113" t="s">
        <v>192</v>
      </c>
      <c r="C33" s="75">
        <f>'Ferramenta de cálculo_Linhas'!$H$46</f>
        <v>-916154.24727273511</v>
      </c>
      <c r="D33" s="3"/>
    </row>
    <row r="34" spans="2:5" x14ac:dyDescent="0.25">
      <c r="B34" s="111" t="s">
        <v>165</v>
      </c>
      <c r="C34" s="4">
        <f>SUM(C35:C42)</f>
        <v>579.18516142375483</v>
      </c>
      <c r="D34" s="3"/>
    </row>
    <row r="35" spans="2:5" x14ac:dyDescent="0.25">
      <c r="B35" s="113" t="s">
        <v>211</v>
      </c>
      <c r="C35" s="75">
        <f>'Ferramenta de cálculo_Linhas'!$H$28</f>
        <v>34.9464310283484</v>
      </c>
      <c r="D35" s="3"/>
    </row>
    <row r="36" spans="2:5" x14ac:dyDescent="0.25">
      <c r="B36" s="113" t="s">
        <v>212</v>
      </c>
      <c r="C36" s="75">
        <f>'Ferramenta de cálculo_Linhas'!$H$29</f>
        <v>18.152159466143022</v>
      </c>
      <c r="D36" s="116"/>
      <c r="E36" s="75"/>
    </row>
    <row r="37" spans="2:5" x14ac:dyDescent="0.25">
      <c r="B37" s="113" t="s">
        <v>213</v>
      </c>
      <c r="C37" s="75">
        <f>'Ferramenta de cálculo_Linhas'!$H$30</f>
        <v>20.111767590328913</v>
      </c>
      <c r="D37" s="3"/>
    </row>
    <row r="38" spans="2:5" x14ac:dyDescent="0.25">
      <c r="B38" s="113" t="s">
        <v>214</v>
      </c>
      <c r="C38" s="75">
        <f>'Ferramenta de cálculo_Linhas'!$H$31</f>
        <v>57.202578162140391</v>
      </c>
      <c r="D38" s="3"/>
    </row>
    <row r="39" spans="2:5" x14ac:dyDescent="0.25">
      <c r="B39" s="113" t="s">
        <v>215</v>
      </c>
      <c r="C39" s="75">
        <f>'Ferramenta de cálculo_Linhas'!$H$32</f>
        <v>0.36196236948346544</v>
      </c>
      <c r="D39" s="3"/>
    </row>
    <row r="40" spans="2:5" x14ac:dyDescent="0.25">
      <c r="B40" t="s">
        <v>216</v>
      </c>
      <c r="C40" s="75">
        <f>'Ferramenta de cálculo_Linhas'!$H$33</f>
        <v>2.2881031264856158</v>
      </c>
      <c r="D40" s="3"/>
    </row>
    <row r="41" spans="2:5" x14ac:dyDescent="0.25">
      <c r="B41" t="s">
        <v>217</v>
      </c>
      <c r="C41" s="75">
        <f>'Ferramenta de cálculo_Linhas'!$H$34</f>
        <v>2.692777080825008</v>
      </c>
      <c r="D41" s="3"/>
    </row>
    <row r="42" spans="2:5" x14ac:dyDescent="0.25">
      <c r="B42" t="s">
        <v>218</v>
      </c>
      <c r="C42" s="75">
        <f>'Ferramenta de cálculo_Linhas'!$H$35+'Ferramenta de cálculo_Linhas'!$H$36</f>
        <v>443.42938260000005</v>
      </c>
      <c r="D42" s="3"/>
    </row>
    <row r="43" spans="2:5" x14ac:dyDescent="0.25">
      <c r="B43" s="115" t="s">
        <v>219</v>
      </c>
      <c r="C43" s="4">
        <f>SUM(C44:C52)</f>
        <v>2214.4824863547619</v>
      </c>
      <c r="D43" s="3"/>
    </row>
    <row r="44" spans="2:5" x14ac:dyDescent="0.25">
      <c r="B44" s="113" t="s">
        <v>183</v>
      </c>
      <c r="C44" s="75">
        <f>'Ferramenta de cálculo_Linhas'!$H37</f>
        <v>0</v>
      </c>
      <c r="D44" s="3"/>
    </row>
    <row r="45" spans="2:5" x14ac:dyDescent="0.25">
      <c r="B45" s="113" t="s">
        <v>184</v>
      </c>
      <c r="C45" s="75">
        <f>'Ferramenta de cálculo_Linhas'!$H38</f>
        <v>8.0570809399237859</v>
      </c>
      <c r="D45" s="3"/>
    </row>
    <row r="46" spans="2:5" x14ac:dyDescent="0.25">
      <c r="B46" s="113" t="s">
        <v>185</v>
      </c>
      <c r="C46" s="75">
        <f>'Ferramenta de cálculo_Linhas'!$H39</f>
        <v>0</v>
      </c>
      <c r="D46" s="3"/>
    </row>
    <row r="47" spans="2:5" x14ac:dyDescent="0.25">
      <c r="B47" s="113" t="s">
        <v>186</v>
      </c>
      <c r="C47" s="75">
        <f>'Ferramenta de cálculo_Linhas'!$H40</f>
        <v>0</v>
      </c>
      <c r="D47" s="3"/>
    </row>
    <row r="48" spans="2:5" x14ac:dyDescent="0.25">
      <c r="B48" s="113" t="s">
        <v>187</v>
      </c>
      <c r="C48" s="75">
        <f>'Ferramenta de cálculo_Linhas'!$H41</f>
        <v>1908.0043072601979</v>
      </c>
      <c r="D48" s="3"/>
    </row>
    <row r="49" spans="2:4" x14ac:dyDescent="0.25">
      <c r="B49" s="113" t="s">
        <v>188</v>
      </c>
      <c r="C49" s="75">
        <f>'Ferramenta de cálculo_Linhas'!$H42</f>
        <v>298.42109815464022</v>
      </c>
      <c r="D49" s="3"/>
    </row>
    <row r="50" spans="2:4" x14ac:dyDescent="0.25">
      <c r="B50" s="113" t="s">
        <v>189</v>
      </c>
      <c r="C50" s="75">
        <f>'Ferramenta de cálculo_Linhas'!$H43</f>
        <v>0</v>
      </c>
      <c r="D50" s="3"/>
    </row>
    <row r="51" spans="2:4" x14ac:dyDescent="0.25">
      <c r="B51" s="113" t="s">
        <v>190</v>
      </c>
      <c r="C51" s="75">
        <f>'Ferramenta de cálculo_Linhas'!$H44</f>
        <v>0</v>
      </c>
      <c r="D51" s="3"/>
    </row>
    <row r="52" spans="2:4" x14ac:dyDescent="0.25">
      <c r="B52" s="113" t="s">
        <v>191</v>
      </c>
      <c r="C52" s="75">
        <f>'Ferramenta de cálculo_Linhas'!$H45</f>
        <v>0</v>
      </c>
      <c r="D52" s="3"/>
    </row>
    <row r="53" spans="2:4" x14ac:dyDescent="0.25">
      <c r="B53" s="106" t="s">
        <v>117</v>
      </c>
      <c r="C53" s="107">
        <f>SUM(C55:C57)</f>
        <v>612140.61078526301</v>
      </c>
      <c r="D53" s="3"/>
    </row>
    <row r="54" spans="2:4" x14ac:dyDescent="0.25">
      <c r="B54" s="111" t="s">
        <v>118</v>
      </c>
      <c r="C54" s="75"/>
      <c r="D54" s="3"/>
    </row>
    <row r="55" spans="2:4" x14ac:dyDescent="0.25">
      <c r="B55" s="113" t="s">
        <v>220</v>
      </c>
      <c r="C55" s="335">
        <f>'Ferramenta de cálculo_Linhas'!H9</f>
        <v>44128.298222312915</v>
      </c>
      <c r="D55" s="3"/>
    </row>
    <row r="56" spans="2:4" x14ac:dyDescent="0.25">
      <c r="B56" s="113" t="s">
        <v>221</v>
      </c>
      <c r="C56" s="75">
        <f>'Ferramenta de cálculo_Linhas'!$H$47</f>
        <v>807646.38690872258</v>
      </c>
      <c r="D56" s="3"/>
    </row>
    <row r="57" spans="2:4" x14ac:dyDescent="0.25">
      <c r="B57" s="113" t="s">
        <v>222</v>
      </c>
      <c r="C57" s="75">
        <f>'Ferramenta de cálculo_Linhas'!$H$48</f>
        <v>-239634.07434577253</v>
      </c>
      <c r="D57" s="108"/>
    </row>
    <row r="58" spans="2:4" x14ac:dyDescent="0.25">
      <c r="B58" s="106" t="s">
        <v>198</v>
      </c>
      <c r="C58" s="107">
        <f>SUM(C60:C65)</f>
        <v>45.205100000000002</v>
      </c>
      <c r="D58" s="3"/>
    </row>
    <row r="59" spans="2:4" x14ac:dyDescent="0.25">
      <c r="B59" s="111" t="s">
        <v>199</v>
      </c>
      <c r="C59" s="75"/>
      <c r="D59" s="3"/>
    </row>
    <row r="60" spans="2:4" x14ac:dyDescent="0.25">
      <c r="B60" s="113" t="s">
        <v>139</v>
      </c>
      <c r="C60" s="75">
        <f>'Ferramenta de cálculo_Linhas'!H49</f>
        <v>2.544</v>
      </c>
      <c r="D60" s="3"/>
    </row>
    <row r="61" spans="2:4" x14ac:dyDescent="0.25">
      <c r="B61" s="113" t="s">
        <v>142</v>
      </c>
      <c r="C61" s="75">
        <f>'Ferramenta de cálculo_Linhas'!H50</f>
        <v>-0.28320000000000001</v>
      </c>
      <c r="D61" s="3"/>
    </row>
    <row r="62" spans="2:4" x14ac:dyDescent="0.25">
      <c r="B62" s="113" t="s">
        <v>145</v>
      </c>
      <c r="C62" s="75">
        <f>'Ferramenta de cálculo_Linhas'!H51</f>
        <v>0</v>
      </c>
      <c r="D62" s="3"/>
    </row>
    <row r="63" spans="2:4" x14ac:dyDescent="0.25">
      <c r="B63" s="113" t="s">
        <v>147</v>
      </c>
      <c r="C63" s="75">
        <f>'Ferramenta de cálculo_Linhas'!H52</f>
        <v>0.17984999999999998</v>
      </c>
      <c r="D63" s="3"/>
    </row>
    <row r="64" spans="2:4" x14ac:dyDescent="0.25">
      <c r="B64" s="113" t="s">
        <v>149</v>
      </c>
      <c r="C64" s="75">
        <f>'Ferramenta de cálculo_Linhas'!H52</f>
        <v>0.17984999999999998</v>
      </c>
      <c r="D64" s="3"/>
    </row>
    <row r="65" spans="2:4" x14ac:dyDescent="0.25">
      <c r="B65" s="113" t="s">
        <v>200</v>
      </c>
      <c r="C65" s="75">
        <f>'Ferramenta de cálculo_Linhas'!$H$54+'Ferramenta de cálculo_Linhas'!H55</f>
        <v>42.584600000000002</v>
      </c>
      <c r="D65" s="3"/>
    </row>
    <row r="66" spans="2:4" x14ac:dyDescent="0.25">
      <c r="B66" s="264" t="s">
        <v>223</v>
      </c>
      <c r="C66" s="341">
        <f>C57+C33</f>
        <v>-1155788.3216185076</v>
      </c>
      <c r="D66" s="3"/>
    </row>
    <row r="67" spans="2:4" x14ac:dyDescent="0.25">
      <c r="B67" s="264" t="s">
        <v>224</v>
      </c>
      <c r="C67" s="342">
        <f>$C$68-C57-$C$33</f>
        <v>973964.19393753051</v>
      </c>
      <c r="D67" s="3"/>
    </row>
    <row r="68" spans="2:4" x14ac:dyDescent="0.25">
      <c r="B68" s="117" t="s">
        <v>225</v>
      </c>
      <c r="C68" s="334">
        <f>$C$6+$C$18+$C$31+$C$58+C53</f>
        <v>-181824.12768097711</v>
      </c>
      <c r="D68" s="3"/>
    </row>
  </sheetData>
  <sheetProtection algorithmName="SHA-512" hashValue="QSO4sp8hvbW4xHkSVnK3zmJ6mc7MH+PobaX47zPgCTVWCTVHcLHKQxq7g/Lni3q6GTL9GLu9iNy4Nph2E1F0Uw==" saltValue="mZYcayHCU8YovrJ3O599qg==" spinCount="100000" sheet="1" objects="1" scenarios="1"/>
  <mergeCells count="1">
    <mergeCell ref="A1:L1"/>
  </mergeCells>
  <conditionalFormatting sqref="C6:C68">
    <cfRule type="cellIs" dxfId="2" priority="5" operator="lessThan">
      <formula>0</formula>
    </cfRule>
  </conditionalFormatting>
  <conditionalFormatting sqref="H15:H19">
    <cfRule type="cellIs" dxfId="1" priority="3" operator="lessThan">
      <formula>0</formula>
    </cfRule>
    <cfRule type="cellIs" dxfId="0" priority="4" operator="greaterThan">
      <formula>0</formula>
    </cfRule>
  </conditionalFormatting>
  <pageMargins left="0.7" right="0.7" top="0.75" bottom="0.75" header="0.3" footer="0.3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0226F-D47F-4E9E-8035-392794F54031}">
  <sheetPr codeName="Folha19">
    <tabColor theme="4" tint="-0.249977111117893"/>
  </sheetPr>
  <dimension ref="A1:N17"/>
  <sheetViews>
    <sheetView showGridLines="0" topLeftCell="A13" zoomScale="115" zoomScaleNormal="115" workbookViewId="0">
      <selection activeCell="M15" sqref="M15"/>
    </sheetView>
  </sheetViews>
  <sheetFormatPr defaultRowHeight="15" x14ac:dyDescent="0.25"/>
  <cols>
    <col min="1" max="1" width="5.42578125" customWidth="1"/>
    <col min="3" max="3" width="19.42578125" customWidth="1"/>
    <col min="4" max="4" width="16.85546875" style="1" customWidth="1"/>
    <col min="7" max="7" width="13.42578125" customWidth="1"/>
    <col min="8" max="8" width="14.42578125" customWidth="1"/>
    <col min="9" max="9" width="12.140625" customWidth="1"/>
    <col min="10" max="10" width="19.5703125" customWidth="1"/>
    <col min="11" max="11" width="27.140625" customWidth="1"/>
  </cols>
  <sheetData>
    <row r="1" spans="1:14" s="202" customFormat="1" ht="15.75" customHeight="1" x14ac:dyDescent="0.25">
      <c r="A1" s="534" t="s">
        <v>13</v>
      </c>
      <c r="B1" s="382"/>
      <c r="C1" s="382"/>
      <c r="D1" s="382"/>
      <c r="E1" s="382"/>
      <c r="F1" s="382"/>
      <c r="G1" s="382"/>
      <c r="H1" s="382"/>
      <c r="I1" s="382"/>
      <c r="J1" s="382"/>
      <c r="K1" s="382"/>
      <c r="L1" s="382"/>
      <c r="M1" s="382"/>
    </row>
    <row r="2" spans="1:14" x14ac:dyDescent="0.25">
      <c r="A2" s="121"/>
    </row>
    <row r="5" spans="1:14" ht="20.100000000000001" customHeight="1" x14ac:dyDescent="0.25">
      <c r="B5" s="536" t="s">
        <v>236</v>
      </c>
      <c r="C5" s="536"/>
      <c r="D5" s="536"/>
      <c r="E5" s="536"/>
      <c r="F5" s="536"/>
      <c r="G5" s="536"/>
      <c r="H5" s="536"/>
      <c r="I5" s="536"/>
      <c r="J5" s="536"/>
      <c r="K5" s="536"/>
    </row>
    <row r="6" spans="1:14" ht="75.599999999999994" customHeight="1" x14ac:dyDescent="0.25">
      <c r="B6" s="537" t="s">
        <v>237</v>
      </c>
      <c r="C6" s="538"/>
      <c r="D6" s="539"/>
      <c r="E6" s="539"/>
      <c r="F6" s="539"/>
      <c r="G6" s="539"/>
      <c r="H6" s="539"/>
      <c r="I6" s="539"/>
      <c r="J6" s="539"/>
      <c r="K6" s="539"/>
    </row>
    <row r="7" spans="1:14" ht="38.1" customHeight="1" x14ac:dyDescent="0.25">
      <c r="B7" s="540" t="s">
        <v>238</v>
      </c>
      <c r="C7" s="541"/>
      <c r="D7" s="184" t="s">
        <v>138</v>
      </c>
      <c r="E7" s="539"/>
      <c r="F7" s="539"/>
      <c r="G7" s="539"/>
      <c r="H7" s="539"/>
      <c r="I7" s="539"/>
      <c r="J7" s="539"/>
      <c r="K7" s="539"/>
    </row>
    <row r="8" spans="1:14" ht="38.1" customHeight="1" x14ac:dyDescent="0.25">
      <c r="B8" s="542"/>
      <c r="C8" s="543"/>
      <c r="D8" s="184" t="s">
        <v>239</v>
      </c>
      <c r="E8" s="544"/>
      <c r="F8" s="544"/>
      <c r="G8" s="544"/>
      <c r="H8" s="544"/>
      <c r="I8" s="544"/>
      <c r="J8" s="544"/>
      <c r="K8" s="544"/>
    </row>
    <row r="9" spans="1:14" ht="51" customHeight="1" x14ac:dyDescent="0.25">
      <c r="B9" s="548" t="s">
        <v>240</v>
      </c>
      <c r="C9" s="548"/>
      <c r="D9" s="549" t="s">
        <v>241</v>
      </c>
      <c r="E9" s="551" t="s">
        <v>242</v>
      </c>
      <c r="F9" s="551"/>
      <c r="G9" s="551"/>
      <c r="H9" s="551"/>
      <c r="I9" s="551"/>
      <c r="J9" s="551"/>
      <c r="K9" s="551"/>
      <c r="L9" s="2"/>
      <c r="M9" s="2"/>
      <c r="N9" s="2"/>
    </row>
    <row r="10" spans="1:14" ht="41.45" customHeight="1" x14ac:dyDescent="0.25">
      <c r="B10" s="548"/>
      <c r="C10" s="548"/>
      <c r="D10" s="550"/>
      <c r="E10" s="551" t="s">
        <v>243</v>
      </c>
      <c r="F10" s="551"/>
      <c r="G10" s="551"/>
      <c r="H10" s="551"/>
      <c r="I10" s="551"/>
      <c r="J10" s="551"/>
      <c r="K10" s="551"/>
    </row>
    <row r="11" spans="1:14" ht="41.45" customHeight="1" x14ac:dyDescent="0.25">
      <c r="B11" s="548"/>
      <c r="C11" s="548"/>
      <c r="D11" s="185" t="s">
        <v>219</v>
      </c>
      <c r="E11" s="552"/>
      <c r="F11" s="552"/>
      <c r="G11" s="552"/>
      <c r="H11" s="552"/>
      <c r="I11" s="552"/>
      <c r="J11" s="552"/>
      <c r="K11" s="552"/>
    </row>
    <row r="12" spans="1:14" ht="41.45" customHeight="1" x14ac:dyDescent="0.25">
      <c r="B12" s="548"/>
      <c r="C12" s="548"/>
      <c r="D12" s="185" t="s">
        <v>244</v>
      </c>
      <c r="E12" s="552"/>
      <c r="F12" s="552"/>
      <c r="G12" s="552"/>
      <c r="H12" s="552"/>
      <c r="I12" s="552"/>
      <c r="J12" s="552"/>
      <c r="K12" s="552"/>
    </row>
    <row r="13" spans="1:14" ht="41.45" customHeight="1" x14ac:dyDescent="0.25">
      <c r="B13" s="548"/>
      <c r="C13" s="548"/>
      <c r="D13" s="553" t="s">
        <v>245</v>
      </c>
      <c r="E13" s="551" t="s">
        <v>175</v>
      </c>
      <c r="F13" s="551"/>
      <c r="G13" s="551"/>
      <c r="H13" s="551"/>
      <c r="I13" s="551"/>
      <c r="J13" s="551"/>
      <c r="K13" s="551"/>
    </row>
    <row r="14" spans="1:14" ht="41.45" customHeight="1" x14ac:dyDescent="0.25">
      <c r="B14" s="548"/>
      <c r="C14" s="548"/>
      <c r="D14" s="554"/>
      <c r="E14" s="551" t="s">
        <v>246</v>
      </c>
      <c r="F14" s="551"/>
      <c r="G14" s="551"/>
      <c r="H14" s="551"/>
      <c r="I14" s="551"/>
      <c r="J14" s="551"/>
      <c r="K14" s="551"/>
    </row>
    <row r="15" spans="1:14" ht="41.45" customHeight="1" x14ac:dyDescent="0.25">
      <c r="B15" s="548"/>
      <c r="C15" s="548"/>
      <c r="D15" s="186" t="s">
        <v>247</v>
      </c>
      <c r="E15" s="555"/>
      <c r="F15" s="555"/>
      <c r="G15" s="555"/>
      <c r="H15" s="555"/>
      <c r="I15" s="555"/>
      <c r="J15" s="555"/>
      <c r="K15" s="555"/>
      <c r="L15" s="95"/>
    </row>
    <row r="16" spans="1:14" ht="41.45" customHeight="1" x14ac:dyDescent="0.25">
      <c r="B16" s="537" t="s">
        <v>248</v>
      </c>
      <c r="C16" s="538"/>
      <c r="D16" s="186" t="s">
        <v>89</v>
      </c>
      <c r="E16" s="545"/>
      <c r="F16" s="546"/>
      <c r="G16" s="546"/>
      <c r="H16" s="546"/>
      <c r="I16" s="546"/>
      <c r="J16" s="546"/>
      <c r="K16" s="547"/>
      <c r="N16" s="95"/>
    </row>
    <row r="17" spans="4:11" ht="44.45" customHeight="1" x14ac:dyDescent="0.25">
      <c r="D17"/>
      <c r="E17" s="3"/>
      <c r="F17" s="3"/>
      <c r="G17" s="3"/>
      <c r="H17" s="3"/>
      <c r="I17" s="3"/>
      <c r="J17" s="3"/>
      <c r="K17" s="3"/>
    </row>
  </sheetData>
  <sheetProtection algorithmName="SHA-512" hashValue="ZWHIkVGlwVsN9gjf8z/AMoV/P+E0oAIwNaABdi8/gD9GqrnVtqAzxGf05Vyh5UqZPrtXTMGY35eSj3dsQGBY7A==" saltValue="FPC11hdey0l8NFd8nYT82Q==" spinCount="100000" sheet="1" objects="1" scenarios="1"/>
  <mergeCells count="19">
    <mergeCell ref="B16:C16"/>
    <mergeCell ref="E16:K16"/>
    <mergeCell ref="B9:C15"/>
    <mergeCell ref="D9:D10"/>
    <mergeCell ref="E9:K9"/>
    <mergeCell ref="E10:K10"/>
    <mergeCell ref="E11:K11"/>
    <mergeCell ref="E12:K12"/>
    <mergeCell ref="D13:D14"/>
    <mergeCell ref="E13:K13"/>
    <mergeCell ref="E14:K14"/>
    <mergeCell ref="E15:K15"/>
    <mergeCell ref="A1:M1"/>
    <mergeCell ref="B5:K5"/>
    <mergeCell ref="B6:C6"/>
    <mergeCell ref="D6:K6"/>
    <mergeCell ref="B7:C8"/>
    <mergeCell ref="E7:K7"/>
    <mergeCell ref="E8:K8"/>
  </mergeCells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olha8">
    <tabColor rgb="FF7030A0"/>
  </sheetPr>
  <dimension ref="A1:Q49"/>
  <sheetViews>
    <sheetView showGridLines="0" topLeftCell="A11" zoomScale="85" zoomScaleNormal="85" workbookViewId="0">
      <selection activeCell="J20" sqref="J20"/>
    </sheetView>
  </sheetViews>
  <sheetFormatPr defaultColWidth="8.7109375" defaultRowHeight="15" x14ac:dyDescent="0.25"/>
  <cols>
    <col min="1" max="1" width="8.7109375" style="75" customWidth="1"/>
    <col min="2" max="2" width="26.5703125" style="75" customWidth="1"/>
    <col min="3" max="3" width="16.85546875" style="75" bestFit="1" customWidth="1"/>
    <col min="4" max="4" width="20.28515625" style="75" customWidth="1"/>
    <col min="5" max="5" width="56.5703125" style="75" bestFit="1" customWidth="1"/>
    <col min="6" max="6" width="11.28515625" style="75" bestFit="1" customWidth="1"/>
    <col min="7" max="7" width="13.5703125" style="75" customWidth="1"/>
    <col min="8" max="8" width="11.28515625" style="75" bestFit="1" customWidth="1"/>
    <col min="9" max="9" width="2" style="75" customWidth="1"/>
    <col min="10" max="10" width="12.42578125" style="75" customWidth="1"/>
    <col min="11" max="11" width="16.85546875" style="75" bestFit="1" customWidth="1"/>
    <col min="12" max="12" width="14.5703125" style="75" bestFit="1" customWidth="1"/>
    <col min="13" max="13" width="56.5703125" style="75" bestFit="1" customWidth="1"/>
    <col min="14" max="14" width="16.85546875" style="75" bestFit="1" customWidth="1"/>
    <col min="15" max="15" width="10.85546875" style="75" bestFit="1" customWidth="1"/>
    <col min="16" max="16384" width="8.7109375" style="75"/>
  </cols>
  <sheetData>
    <row r="1" spans="1:13" s="206" customFormat="1" ht="24.75" customHeight="1" x14ac:dyDescent="0.25">
      <c r="A1" s="534" t="s">
        <v>201</v>
      </c>
      <c r="B1" s="563"/>
      <c r="C1" s="563"/>
      <c r="D1" s="563"/>
      <c r="E1" s="563"/>
      <c r="F1" s="563"/>
      <c r="G1" s="563"/>
      <c r="H1" s="563"/>
      <c r="I1" s="563"/>
      <c r="J1" s="563"/>
      <c r="K1" s="563"/>
      <c r="L1" s="203"/>
      <c r="M1" s="203"/>
    </row>
    <row r="3" spans="1:13" x14ac:dyDescent="0.25">
      <c r="B3" s="4" t="s">
        <v>192</v>
      </c>
    </row>
    <row r="4" spans="1:13" x14ac:dyDescent="0.25">
      <c r="C4" s="568" t="s">
        <v>550</v>
      </c>
      <c r="D4" s="569"/>
      <c r="E4" s="5" t="s">
        <v>226</v>
      </c>
      <c r="G4" s="116"/>
      <c r="H4" s="116"/>
      <c r="I4" s="116"/>
      <c r="J4" s="560"/>
      <c r="K4" s="560"/>
      <c r="L4" s="560"/>
      <c r="M4" s="377"/>
    </row>
    <row r="5" spans="1:13" ht="19.5" customHeight="1" x14ac:dyDescent="0.25">
      <c r="B5" s="566" t="s">
        <v>543</v>
      </c>
      <c r="C5" s="371" t="s">
        <v>541</v>
      </c>
      <c r="D5" s="376">
        <f>'Inserção de dados_Linhas'!C27*'Inserção de dados_Linhas'!D27/'Inserção de dados_Linhas'!E27</f>
        <v>1.1727272727272726</v>
      </c>
      <c r="E5" s="371" t="s">
        <v>548</v>
      </c>
      <c r="F5" s="76"/>
      <c r="G5" s="378"/>
      <c r="H5" s="116"/>
      <c r="I5" s="116"/>
      <c r="J5" s="116"/>
      <c r="K5" s="116"/>
      <c r="L5" s="116"/>
      <c r="M5" s="379"/>
    </row>
    <row r="6" spans="1:13" ht="22.5" customHeight="1" x14ac:dyDescent="0.25">
      <c r="B6" s="567"/>
      <c r="C6" s="371" t="s">
        <v>542</v>
      </c>
      <c r="D6" s="376">
        <v>0</v>
      </c>
      <c r="E6" s="371" t="s">
        <v>549</v>
      </c>
      <c r="G6" s="108"/>
      <c r="H6" s="116"/>
      <c r="I6" s="116"/>
      <c r="J6" s="116"/>
      <c r="K6" s="108"/>
      <c r="L6" s="116"/>
      <c r="M6" s="379"/>
    </row>
    <row r="7" spans="1:13" ht="22.5" customHeight="1" x14ac:dyDescent="0.25">
      <c r="C7" s="371" t="s">
        <v>540</v>
      </c>
      <c r="D7" s="373">
        <v>8760</v>
      </c>
      <c r="E7" s="371" t="s">
        <v>227</v>
      </c>
      <c r="G7" s="108"/>
      <c r="H7" s="116"/>
      <c r="I7" s="116"/>
      <c r="J7" s="116"/>
      <c r="K7" s="116"/>
      <c r="L7" s="116"/>
      <c r="M7" s="379"/>
    </row>
    <row r="8" spans="1:13" ht="24.6" customHeight="1" x14ac:dyDescent="0.25">
      <c r="C8" s="371" t="s">
        <v>545</v>
      </c>
      <c r="D8" s="372">
        <v>0.2</v>
      </c>
      <c r="E8" s="371" t="s">
        <v>228</v>
      </c>
    </row>
    <row r="9" spans="1:13" ht="23.45" customHeight="1" x14ac:dyDescent="0.25">
      <c r="C9" s="371" t="s">
        <v>544</v>
      </c>
      <c r="D9" s="372">
        <v>0.4</v>
      </c>
      <c r="E9" s="371" t="s">
        <v>547</v>
      </c>
    </row>
    <row r="10" spans="1:13" ht="23.45" customHeight="1" x14ac:dyDescent="0.25">
      <c r="D10" s="374"/>
    </row>
    <row r="11" spans="1:13" ht="23.45" customHeight="1" x14ac:dyDescent="0.25">
      <c r="C11" s="565" t="s">
        <v>546</v>
      </c>
      <c r="D11" s="565"/>
      <c r="E11" s="565"/>
    </row>
    <row r="12" spans="1:13" ht="23.45" customHeight="1" x14ac:dyDescent="0.25">
      <c r="C12" s="372" t="s">
        <v>541</v>
      </c>
      <c r="D12" s="372" t="s">
        <v>542</v>
      </c>
      <c r="E12" s="372" t="s">
        <v>103</v>
      </c>
    </row>
    <row r="13" spans="1:13" ht="23.45" customHeight="1" x14ac:dyDescent="0.25">
      <c r="C13" s="373">
        <f>$D$5*($D$7*$D$8)</f>
        <v>2054.6181818181817</v>
      </c>
      <c r="D13" s="373">
        <f>$D$6*($D$7*$D$9)</f>
        <v>0</v>
      </c>
      <c r="E13" s="373">
        <f>SUM(C13:D13)</f>
        <v>2054.6181818181817</v>
      </c>
    </row>
    <row r="15" spans="1:13" ht="63.95" customHeight="1" x14ac:dyDescent="0.25">
      <c r="B15" s="77" t="s">
        <v>229</v>
      </c>
      <c r="C15" s="77" t="s">
        <v>230</v>
      </c>
      <c r="D15" s="77" t="s">
        <v>231</v>
      </c>
      <c r="E15" s="77" t="s">
        <v>232</v>
      </c>
      <c r="F15" s="77" t="s">
        <v>233</v>
      </c>
      <c r="G15" s="561"/>
    </row>
    <row r="16" spans="1:13" ht="15.6" customHeight="1" x14ac:dyDescent="0.25">
      <c r="B16" s="118">
        <v>2022</v>
      </c>
      <c r="C16" s="119">
        <v>0.16900000000000001</v>
      </c>
      <c r="D16" s="122">
        <v>0.61</v>
      </c>
      <c r="E16" s="556" t="s">
        <v>234</v>
      </c>
      <c r="F16" s="557"/>
      <c r="G16" s="562"/>
      <c r="H16" s="120"/>
    </row>
    <row r="17" spans="2:17" ht="15.6" customHeight="1" x14ac:dyDescent="0.25">
      <c r="B17" s="78">
        <v>2023</v>
      </c>
      <c r="C17" s="79">
        <f t="shared" ref="C17:C44" si="0">(1-D17)*C16/(1-D16)</f>
        <v>0.13288888888888889</v>
      </c>
      <c r="D17" s="80">
        <f>D16+($D$19-$D$16)/3</f>
        <v>0.69333333333333336</v>
      </c>
      <c r="E17" s="260">
        <v>0</v>
      </c>
      <c r="F17" s="260">
        <f t="shared" ref="F17:F44" si="1">E17*C17</f>
        <v>0</v>
      </c>
      <c r="G17" s="562"/>
    </row>
    <row r="18" spans="2:17" ht="15.6" customHeight="1" x14ac:dyDescent="0.25">
      <c r="B18" s="78">
        <v>2024</v>
      </c>
      <c r="C18" s="79">
        <f t="shared" si="0"/>
        <v>9.6777777777777754E-2</v>
      </c>
      <c r="D18" s="80">
        <f>D17+($D$19-$D$16)/3</f>
        <v>0.77666666666666673</v>
      </c>
      <c r="E18" s="260">
        <v>0</v>
      </c>
      <c r="F18" s="260">
        <f t="shared" si="1"/>
        <v>0</v>
      </c>
      <c r="G18" s="562"/>
    </row>
    <row r="19" spans="2:17" ht="15.6" customHeight="1" x14ac:dyDescent="0.25">
      <c r="B19" s="81">
        <v>2025</v>
      </c>
      <c r="C19" s="79">
        <f t="shared" si="0"/>
        <v>6.0666666666666674E-2</v>
      </c>
      <c r="D19" s="82">
        <v>0.86</v>
      </c>
      <c r="E19" s="260">
        <v>0</v>
      </c>
      <c r="F19" s="260">
        <f t="shared" si="1"/>
        <v>0</v>
      </c>
      <c r="G19" s="562"/>
    </row>
    <row r="20" spans="2:17" ht="15.6" customHeight="1" x14ac:dyDescent="0.25">
      <c r="B20" s="78">
        <v>2026</v>
      </c>
      <c r="C20" s="79">
        <f t="shared" si="0"/>
        <v>5.4600000000000003E-2</v>
      </c>
      <c r="D20" s="80">
        <f>D19+($D$24-$D$19)/5</f>
        <v>0.874</v>
      </c>
      <c r="E20" s="260"/>
      <c r="F20" s="260">
        <f t="shared" si="1"/>
        <v>0</v>
      </c>
      <c r="G20" s="562"/>
    </row>
    <row r="21" spans="2:17" ht="15.6" customHeight="1" x14ac:dyDescent="0.25">
      <c r="B21" s="78">
        <v>2027</v>
      </c>
      <c r="C21" s="79">
        <f t="shared" si="0"/>
        <v>4.8533333333333331E-2</v>
      </c>
      <c r="D21" s="80">
        <f>D20+($D$24-$D$19)/5</f>
        <v>0.88800000000000001</v>
      </c>
      <c r="E21" s="260">
        <f t="shared" ref="E21:E44" si="2">$E$13*1000</f>
        <v>2054618.1818181816</v>
      </c>
      <c r="F21" s="260">
        <f t="shared" si="1"/>
        <v>99717.469090909071</v>
      </c>
      <c r="G21" s="562"/>
      <c r="K21" s="564"/>
      <c r="L21" s="564"/>
      <c r="M21" s="374"/>
      <c r="N21" s="374"/>
      <c r="O21" s="374"/>
    </row>
    <row r="22" spans="2:17" ht="15.6" customHeight="1" x14ac:dyDescent="0.25">
      <c r="B22" s="78">
        <v>2028</v>
      </c>
      <c r="C22" s="79">
        <f t="shared" si="0"/>
        <v>4.2466666666666653E-2</v>
      </c>
      <c r="D22" s="80">
        <f>D21+($D$24-$D$19)/5</f>
        <v>0.90200000000000002</v>
      </c>
      <c r="E22" s="260">
        <f t="shared" si="2"/>
        <v>2054618.1818181816</v>
      </c>
      <c r="F22" s="260">
        <f t="shared" si="1"/>
        <v>87252.785454545417</v>
      </c>
      <c r="G22" s="562"/>
      <c r="K22" s="374"/>
      <c r="L22" s="374"/>
      <c r="M22" s="374"/>
      <c r="N22" s="374"/>
      <c r="O22" s="374"/>
      <c r="Q22" s="116"/>
    </row>
    <row r="23" spans="2:17" ht="15.6" customHeight="1" x14ac:dyDescent="0.25">
      <c r="B23" s="78">
        <v>2029</v>
      </c>
      <c r="C23" s="79">
        <f t="shared" si="0"/>
        <v>3.6399999999999981E-2</v>
      </c>
      <c r="D23" s="80">
        <f>D22+($D$24-$D$19)/5</f>
        <v>0.91600000000000004</v>
      </c>
      <c r="E23" s="260">
        <f t="shared" si="2"/>
        <v>2054618.1818181816</v>
      </c>
      <c r="F23" s="260">
        <f t="shared" si="1"/>
        <v>74788.101818181778</v>
      </c>
      <c r="G23" s="562"/>
      <c r="K23" s="374"/>
      <c r="L23" s="374"/>
      <c r="M23" s="375"/>
      <c r="N23" s="374"/>
      <c r="O23" s="374"/>
      <c r="Q23" s="116"/>
    </row>
    <row r="24" spans="2:17" ht="15.6" customHeight="1" x14ac:dyDescent="0.25">
      <c r="B24" s="81">
        <v>2030</v>
      </c>
      <c r="C24" s="79">
        <f t="shared" si="0"/>
        <v>3.0333333333333309E-2</v>
      </c>
      <c r="D24" s="82">
        <v>0.93</v>
      </c>
      <c r="E24" s="260">
        <f t="shared" si="2"/>
        <v>2054618.1818181816</v>
      </c>
      <c r="F24" s="260">
        <f t="shared" si="1"/>
        <v>62323.418181818124</v>
      </c>
      <c r="G24" s="562"/>
    </row>
    <row r="25" spans="2:17" ht="15.6" customHeight="1" x14ac:dyDescent="0.25">
      <c r="B25" s="78">
        <v>2031</v>
      </c>
      <c r="C25" s="79">
        <f t="shared" si="0"/>
        <v>2.8816666666666668E-2</v>
      </c>
      <c r="D25" s="80">
        <f t="shared" ref="D25:D43" si="3">D24+($D$44-$D$24)/20</f>
        <v>0.9335</v>
      </c>
      <c r="E25" s="260">
        <f t="shared" si="2"/>
        <v>2054618.1818181816</v>
      </c>
      <c r="F25" s="260">
        <f t="shared" si="1"/>
        <v>59207.247272727269</v>
      </c>
      <c r="G25" s="562"/>
    </row>
    <row r="26" spans="2:17" ht="15.6" customHeight="1" x14ac:dyDescent="0.25">
      <c r="B26" s="78">
        <v>2032</v>
      </c>
      <c r="C26" s="79">
        <f t="shared" si="0"/>
        <v>2.7300000000000022E-2</v>
      </c>
      <c r="D26" s="80">
        <f t="shared" si="3"/>
        <v>0.93699999999999994</v>
      </c>
      <c r="E26" s="260">
        <f t="shared" si="2"/>
        <v>2054618.1818181816</v>
      </c>
      <c r="F26" s="260">
        <f t="shared" si="1"/>
        <v>56091.076363636406</v>
      </c>
      <c r="G26" s="562"/>
    </row>
    <row r="27" spans="2:17" ht="15.6" customHeight="1" x14ac:dyDescent="0.25">
      <c r="B27" s="78">
        <v>2033</v>
      </c>
      <c r="C27" s="79">
        <f t="shared" si="0"/>
        <v>2.5783333333333377E-2</v>
      </c>
      <c r="D27" s="80">
        <f t="shared" si="3"/>
        <v>0.94049999999999989</v>
      </c>
      <c r="E27" s="260">
        <f t="shared" si="2"/>
        <v>2054618.1818181816</v>
      </c>
      <c r="F27" s="260">
        <f t="shared" si="1"/>
        <v>52974.905454545536</v>
      </c>
      <c r="G27" s="562"/>
    </row>
    <row r="28" spans="2:17" ht="15.6" customHeight="1" x14ac:dyDescent="0.25">
      <c r="B28" s="78">
        <v>2034</v>
      </c>
      <c r="C28" s="79">
        <f t="shared" si="0"/>
        <v>2.4266666666666735E-2</v>
      </c>
      <c r="D28" s="80">
        <f t="shared" si="3"/>
        <v>0.94399999999999984</v>
      </c>
      <c r="E28" s="260">
        <f t="shared" si="2"/>
        <v>2054618.1818181816</v>
      </c>
      <c r="F28" s="260">
        <f t="shared" si="1"/>
        <v>49858.734545454681</v>
      </c>
      <c r="G28" s="562"/>
    </row>
    <row r="29" spans="2:17" ht="15.6" customHeight="1" x14ac:dyDescent="0.25">
      <c r="B29" s="78">
        <v>2035</v>
      </c>
      <c r="C29" s="79">
        <f t="shared" si="0"/>
        <v>2.2750000000000093E-2</v>
      </c>
      <c r="D29" s="80">
        <f t="shared" si="3"/>
        <v>0.94749999999999979</v>
      </c>
      <c r="E29" s="260">
        <f t="shared" si="2"/>
        <v>2054618.1818181816</v>
      </c>
      <c r="F29" s="260">
        <f t="shared" si="1"/>
        <v>46742.563636363826</v>
      </c>
      <c r="G29" s="562"/>
    </row>
    <row r="30" spans="2:17" ht="15.6" customHeight="1" x14ac:dyDescent="0.25">
      <c r="B30" s="78">
        <v>2036</v>
      </c>
      <c r="C30" s="79">
        <f t="shared" si="0"/>
        <v>2.1233333333333451E-2</v>
      </c>
      <c r="D30" s="80">
        <f t="shared" si="3"/>
        <v>0.95099999999999973</v>
      </c>
      <c r="E30" s="260">
        <f t="shared" si="2"/>
        <v>2054618.1818181816</v>
      </c>
      <c r="F30" s="260">
        <f t="shared" si="1"/>
        <v>43626.392727272963</v>
      </c>
      <c r="G30" s="562"/>
    </row>
    <row r="31" spans="2:17" ht="15.6" customHeight="1" x14ac:dyDescent="0.25">
      <c r="B31" s="78">
        <v>2037</v>
      </c>
      <c r="C31" s="79">
        <f t="shared" si="0"/>
        <v>1.9716666666666809E-2</v>
      </c>
      <c r="D31" s="80">
        <f t="shared" si="3"/>
        <v>0.95449999999999968</v>
      </c>
      <c r="E31" s="260">
        <f t="shared" si="2"/>
        <v>2054618.1818181816</v>
      </c>
      <c r="F31" s="260">
        <f t="shared" si="1"/>
        <v>40510.221818182108</v>
      </c>
      <c r="G31" s="562"/>
    </row>
    <row r="32" spans="2:17" ht="15.6" customHeight="1" x14ac:dyDescent="0.25">
      <c r="B32" s="78">
        <v>2038</v>
      </c>
      <c r="C32" s="79">
        <f t="shared" si="0"/>
        <v>1.8200000000000164E-2</v>
      </c>
      <c r="D32" s="80">
        <f t="shared" si="3"/>
        <v>0.95799999999999963</v>
      </c>
      <c r="E32" s="260">
        <f t="shared" si="2"/>
        <v>2054618.1818181816</v>
      </c>
      <c r="F32" s="260">
        <f t="shared" si="1"/>
        <v>37394.050909091246</v>
      </c>
      <c r="G32" s="562"/>
    </row>
    <row r="33" spans="2:7" ht="15.6" customHeight="1" x14ac:dyDescent="0.25">
      <c r="B33" s="78">
        <v>2039</v>
      </c>
      <c r="C33" s="79">
        <f t="shared" si="0"/>
        <v>1.6683333333333522E-2</v>
      </c>
      <c r="D33" s="80">
        <f t="shared" si="3"/>
        <v>0.96149999999999958</v>
      </c>
      <c r="E33" s="260">
        <f t="shared" si="2"/>
        <v>2054618.1818181816</v>
      </c>
      <c r="F33" s="260">
        <f t="shared" si="1"/>
        <v>34277.880000000383</v>
      </c>
      <c r="G33" s="562"/>
    </row>
    <row r="34" spans="2:7" ht="15.6" customHeight="1" x14ac:dyDescent="0.25">
      <c r="B34" s="78">
        <v>2040</v>
      </c>
      <c r="C34" s="79">
        <f t="shared" si="0"/>
        <v>1.5166666666666878E-2</v>
      </c>
      <c r="D34" s="80">
        <f t="shared" si="3"/>
        <v>0.96499999999999952</v>
      </c>
      <c r="E34" s="260">
        <f t="shared" si="2"/>
        <v>2054618.1818181816</v>
      </c>
      <c r="F34" s="260">
        <f t="shared" si="1"/>
        <v>31161.709090909524</v>
      </c>
      <c r="G34" s="562"/>
    </row>
    <row r="35" spans="2:7" ht="15.6" customHeight="1" x14ac:dyDescent="0.25">
      <c r="B35" s="78">
        <v>2041</v>
      </c>
      <c r="C35" s="79">
        <f t="shared" si="0"/>
        <v>1.3650000000000233E-2</v>
      </c>
      <c r="D35" s="80">
        <f t="shared" si="3"/>
        <v>0.96849999999999947</v>
      </c>
      <c r="E35" s="260">
        <f t="shared" si="2"/>
        <v>2054618.1818181816</v>
      </c>
      <c r="F35" s="260">
        <f t="shared" si="1"/>
        <v>28045.538181818658</v>
      </c>
      <c r="G35" s="562"/>
    </row>
    <row r="36" spans="2:7" ht="15.6" customHeight="1" x14ac:dyDescent="0.25">
      <c r="B36" s="78">
        <v>2042</v>
      </c>
      <c r="C36" s="79">
        <f t="shared" si="0"/>
        <v>1.2133333333333588E-2</v>
      </c>
      <c r="D36" s="80">
        <f t="shared" si="3"/>
        <v>0.97199999999999942</v>
      </c>
      <c r="E36" s="260">
        <f t="shared" si="2"/>
        <v>2054618.1818181816</v>
      </c>
      <c r="F36" s="260">
        <f t="shared" si="1"/>
        <v>24929.367272727792</v>
      </c>
      <c r="G36" s="562"/>
    </row>
    <row r="37" spans="2:7" ht="15.6" customHeight="1" x14ac:dyDescent="0.25">
      <c r="B37" s="78">
        <v>2043</v>
      </c>
      <c r="C37" s="79">
        <f t="shared" si="0"/>
        <v>1.0616666666666944E-2</v>
      </c>
      <c r="D37" s="80">
        <f t="shared" si="3"/>
        <v>0.97549999999999937</v>
      </c>
      <c r="E37" s="260">
        <f t="shared" si="2"/>
        <v>2054618.1818181816</v>
      </c>
      <c r="F37" s="260">
        <f t="shared" si="1"/>
        <v>21813.196363636933</v>
      </c>
      <c r="G37" s="562"/>
    </row>
    <row r="38" spans="2:7" ht="15.6" customHeight="1" x14ac:dyDescent="0.25">
      <c r="B38" s="78">
        <v>2044</v>
      </c>
      <c r="C38" s="79">
        <f t="shared" si="0"/>
        <v>9.1000000000002988E-3</v>
      </c>
      <c r="D38" s="80">
        <f t="shared" si="3"/>
        <v>0.97899999999999932</v>
      </c>
      <c r="E38" s="260">
        <f t="shared" si="2"/>
        <v>2054618.1818181816</v>
      </c>
      <c r="F38" s="260">
        <f t="shared" si="1"/>
        <v>18697.025454546067</v>
      </c>
      <c r="G38" s="562"/>
    </row>
    <row r="39" spans="2:7" ht="15.6" customHeight="1" x14ac:dyDescent="0.25">
      <c r="B39" s="78">
        <v>2045</v>
      </c>
      <c r="C39" s="79">
        <f t="shared" si="0"/>
        <v>7.5833333333336552E-3</v>
      </c>
      <c r="D39" s="80">
        <f t="shared" si="3"/>
        <v>0.98249999999999926</v>
      </c>
      <c r="E39" s="260">
        <f t="shared" si="2"/>
        <v>2054618.1818181816</v>
      </c>
      <c r="F39" s="260">
        <f t="shared" si="1"/>
        <v>15580.854545455206</v>
      </c>
      <c r="G39" s="562"/>
    </row>
    <row r="40" spans="2:7" ht="15.6" customHeight="1" x14ac:dyDescent="0.25">
      <c r="B40" s="78">
        <v>2046</v>
      </c>
      <c r="C40" s="79">
        <f t="shared" si="0"/>
        <v>6.0666666666670107E-3</v>
      </c>
      <c r="D40" s="80">
        <f t="shared" si="3"/>
        <v>0.98599999999999921</v>
      </c>
      <c r="E40" s="260">
        <f t="shared" si="2"/>
        <v>2054618.1818181816</v>
      </c>
      <c r="F40" s="260">
        <f t="shared" si="1"/>
        <v>12464.683636364342</v>
      </c>
      <c r="G40" s="562"/>
    </row>
    <row r="41" spans="2:7" ht="15.6" customHeight="1" x14ac:dyDescent="0.25">
      <c r="B41" s="78">
        <v>2047</v>
      </c>
      <c r="C41" s="79">
        <f t="shared" si="0"/>
        <v>4.5500000000003663E-3</v>
      </c>
      <c r="D41" s="80">
        <f t="shared" si="3"/>
        <v>0.98949999999999916</v>
      </c>
      <c r="E41" s="260">
        <f t="shared" si="2"/>
        <v>2054618.1818181816</v>
      </c>
      <c r="F41" s="260">
        <f t="shared" si="1"/>
        <v>9348.512727273479</v>
      </c>
      <c r="G41" s="562"/>
    </row>
    <row r="42" spans="2:7" ht="15.6" customHeight="1" x14ac:dyDescent="0.25">
      <c r="B42" s="78">
        <v>2048</v>
      </c>
      <c r="C42" s="79">
        <f t="shared" si="0"/>
        <v>3.0333333333337222E-3</v>
      </c>
      <c r="D42" s="80">
        <f t="shared" si="3"/>
        <v>0.99299999999999911</v>
      </c>
      <c r="E42" s="260">
        <f t="shared" si="2"/>
        <v>2054618.1818181816</v>
      </c>
      <c r="F42" s="260">
        <f t="shared" si="1"/>
        <v>6232.3418181826164</v>
      </c>
      <c r="G42" s="562"/>
    </row>
    <row r="43" spans="2:7" ht="15.6" customHeight="1" x14ac:dyDescent="0.25">
      <c r="B43" s="78">
        <v>2049</v>
      </c>
      <c r="C43" s="79">
        <f t="shared" si="0"/>
        <v>1.5166666666670775E-3</v>
      </c>
      <c r="D43" s="80">
        <f t="shared" si="3"/>
        <v>0.99649999999999905</v>
      </c>
      <c r="E43" s="260">
        <f t="shared" si="2"/>
        <v>2054618.1818181816</v>
      </c>
      <c r="F43" s="260">
        <f t="shared" si="1"/>
        <v>3116.1709090917529</v>
      </c>
      <c r="G43" s="562"/>
    </row>
    <row r="44" spans="2:7" ht="15.6" customHeight="1" x14ac:dyDescent="0.25">
      <c r="B44" s="81" t="s">
        <v>235</v>
      </c>
      <c r="C44" s="79">
        <f t="shared" si="0"/>
        <v>0</v>
      </c>
      <c r="D44" s="82">
        <v>1</v>
      </c>
      <c r="E44" s="260">
        <f t="shared" si="2"/>
        <v>2054618.1818181816</v>
      </c>
      <c r="F44" s="260">
        <f t="shared" si="1"/>
        <v>0</v>
      </c>
      <c r="G44" s="562"/>
    </row>
    <row r="45" spans="2:7" x14ac:dyDescent="0.25">
      <c r="B45" s="558" t="s">
        <v>103</v>
      </c>
      <c r="C45" s="559"/>
      <c r="D45" s="559"/>
      <c r="E45" s="557"/>
      <c r="F45" s="253">
        <f>SUM(F17:F44)</f>
        <v>916154.24727273511</v>
      </c>
      <c r="G45" s="4"/>
    </row>
    <row r="46" spans="2:7" x14ac:dyDescent="0.25">
      <c r="C46" s="83"/>
      <c r="G46" s="4"/>
    </row>
    <row r="47" spans="2:7" x14ac:dyDescent="0.25">
      <c r="E47" s="6"/>
      <c r="F47" s="6"/>
      <c r="G47" s="6"/>
    </row>
    <row r="48" spans="2:7" x14ac:dyDescent="0.25">
      <c r="E48" s="6"/>
      <c r="F48" s="6"/>
      <c r="G48" s="6"/>
    </row>
    <row r="49" spans="5:7" x14ac:dyDescent="0.25">
      <c r="E49" s="6"/>
      <c r="F49" s="6"/>
      <c r="G49" s="6"/>
    </row>
  </sheetData>
  <sheetProtection algorithmName="SHA-512" hashValue="PsJJjqJLPt48sX/ggcyezm+iopM0Y6tCoZ3iXnIZhgsVMSrRh1XCRm0XnIjG4yxZLSO/YqBhYvbew5Wd4A0FnA==" saltValue="er6OXGpqLVN29xBp6v6YPg==" spinCount="100000" sheet="1" objects="1" scenarios="1"/>
  <mergeCells count="9">
    <mergeCell ref="E16:F16"/>
    <mergeCell ref="B45:E45"/>
    <mergeCell ref="J4:L4"/>
    <mergeCell ref="G15:G44"/>
    <mergeCell ref="A1:K1"/>
    <mergeCell ref="K21:L21"/>
    <mergeCell ref="C11:E11"/>
    <mergeCell ref="B5:B6"/>
    <mergeCell ref="C4:D4"/>
  </mergeCells>
  <pageMargins left="0.7" right="0.7" top="0.75" bottom="0.75" header="0.3" footer="0.3"/>
  <pageSetup paperSize="9" orientation="portrait"/>
  <drawing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olha9">
    <tabColor rgb="FF7030A0"/>
  </sheetPr>
  <dimension ref="B1:L14"/>
  <sheetViews>
    <sheetView showGridLines="0" workbookViewId="0">
      <selection activeCell="I10" sqref="I10"/>
    </sheetView>
  </sheetViews>
  <sheetFormatPr defaultRowHeight="15" x14ac:dyDescent="0.25"/>
  <cols>
    <col min="1" max="1" width="3.5703125" customWidth="1"/>
    <col min="2" max="2" width="71.85546875" customWidth="1"/>
    <col min="3" max="3" width="36.42578125" bestFit="1" customWidth="1"/>
    <col min="4" max="4" width="13.85546875" bestFit="1" customWidth="1"/>
    <col min="5" max="5" width="35.7109375" bestFit="1" customWidth="1"/>
    <col min="6" max="6" width="14.5703125" customWidth="1"/>
    <col min="7" max="7" width="35.7109375" bestFit="1" customWidth="1"/>
    <col min="8" max="9" width="14.5703125" customWidth="1"/>
    <col min="10" max="10" width="24.140625" customWidth="1"/>
  </cols>
  <sheetData>
    <row r="1" spans="2:12" s="207" customFormat="1" ht="20.25" customHeight="1" x14ac:dyDescent="0.25">
      <c r="B1" s="382" t="s">
        <v>13</v>
      </c>
      <c r="C1" s="570"/>
      <c r="D1" s="570"/>
      <c r="E1" s="570"/>
      <c r="F1" s="570"/>
      <c r="G1" s="570"/>
      <c r="H1" s="570"/>
      <c r="I1" s="570"/>
      <c r="J1" s="570"/>
      <c r="K1" s="570"/>
      <c r="L1" s="570"/>
    </row>
    <row r="5" spans="2:12" x14ac:dyDescent="0.25">
      <c r="J5" s="8"/>
    </row>
    <row r="6" spans="2:12" ht="20.100000000000001" customHeight="1" x14ac:dyDescent="0.25">
      <c r="B6" s="10" t="s">
        <v>249</v>
      </c>
      <c r="C6" s="11" t="s">
        <v>250</v>
      </c>
      <c r="D6" s="16"/>
      <c r="E6" s="7" t="s">
        <v>251</v>
      </c>
      <c r="I6" s="9"/>
      <c r="J6" s="8"/>
    </row>
    <row r="7" spans="2:12" ht="15" customHeight="1" thickBot="1" x14ac:dyDescent="0.3">
      <c r="B7" s="12"/>
      <c r="C7" s="13"/>
      <c r="D7" s="17"/>
      <c r="E7" s="13"/>
      <c r="J7" s="8"/>
    </row>
    <row r="8" spans="2:12" ht="15" customHeight="1" thickBot="1" x14ac:dyDescent="0.3">
      <c r="B8" s="20" t="s">
        <v>252</v>
      </c>
      <c r="C8" s="22">
        <v>108.6705023802603</v>
      </c>
      <c r="D8" s="18"/>
      <c r="E8" s="15">
        <v>80.412152931082716</v>
      </c>
      <c r="J8" s="8"/>
    </row>
    <row r="9" spans="2:12" ht="15" customHeight="1" thickBot="1" x14ac:dyDescent="0.3">
      <c r="B9" s="21" t="s">
        <v>253</v>
      </c>
      <c r="C9" s="23">
        <v>61.407112127631372</v>
      </c>
      <c r="D9" s="18"/>
      <c r="E9" s="28"/>
      <c r="J9" s="8"/>
    </row>
    <row r="10" spans="2:12" ht="15" customHeight="1" thickBot="1" x14ac:dyDescent="0.3">
      <c r="B10" s="20" t="s">
        <v>254</v>
      </c>
      <c r="C10" s="24">
        <v>133.40146752725951</v>
      </c>
      <c r="D10" s="18"/>
      <c r="E10" s="14"/>
    </row>
    <row r="11" spans="2:12" ht="15" customHeight="1" thickBot="1" x14ac:dyDescent="0.3">
      <c r="B11" s="21" t="s">
        <v>255</v>
      </c>
      <c r="C11" s="25">
        <v>487.82137682230518</v>
      </c>
      <c r="D11" s="18"/>
    </row>
    <row r="12" spans="2:12" ht="15" customHeight="1" thickBot="1" x14ac:dyDescent="0.3">
      <c r="B12" s="20" t="s">
        <v>256</v>
      </c>
      <c r="C12" s="26">
        <v>455.69667594794208</v>
      </c>
      <c r="D12" s="18"/>
      <c r="H12" s="9"/>
    </row>
    <row r="13" spans="2:12" ht="15" customHeight="1" thickBot="1" x14ac:dyDescent="0.3">
      <c r="B13" s="21" t="s">
        <v>257</v>
      </c>
      <c r="C13" s="23">
        <v>0</v>
      </c>
      <c r="D13" s="18"/>
    </row>
    <row r="14" spans="2:12" ht="15" customHeight="1" thickBot="1" x14ac:dyDescent="0.3">
      <c r="B14" s="20" t="s">
        <v>258</v>
      </c>
      <c r="C14" s="27">
        <v>0</v>
      </c>
      <c r="D14" s="19"/>
    </row>
  </sheetData>
  <sheetProtection algorithmName="SHA-512" hashValue="3HSg0zlNMmgw/MW68aDGY9wEfXxWXcLFirJh2TS2Cj6bhP2lRFp8obp4FIofjJvkThRbY8kaKKkTZ3cxke/t1w==" saltValue="l+ezioF6GHrhybCpkdPPSQ==" spinCount="100000" sheet="1" objects="1" scenarios="1"/>
  <mergeCells count="1">
    <mergeCell ref="B1:L1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olha10">
    <tabColor rgb="FF7030A0"/>
  </sheetPr>
  <dimension ref="A1:K49"/>
  <sheetViews>
    <sheetView workbookViewId="0">
      <selection activeCell="I10" sqref="I10"/>
    </sheetView>
  </sheetViews>
  <sheetFormatPr defaultColWidth="8.7109375" defaultRowHeight="12.75" x14ac:dyDescent="0.25"/>
  <cols>
    <col min="1" max="10" width="15.140625" style="125" customWidth="1"/>
    <col min="11" max="11" width="8.7109375" style="125" customWidth="1"/>
    <col min="12" max="16384" width="8.7109375" style="125"/>
  </cols>
  <sheetData>
    <row r="1" spans="1:11" s="209" customFormat="1" ht="22.5" customHeight="1" x14ac:dyDescent="0.25">
      <c r="A1" s="534" t="s">
        <v>13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</row>
    <row r="3" spans="1:11" ht="57.6" customHeight="1" x14ac:dyDescent="0.25">
      <c r="E3" s="577" t="s">
        <v>259</v>
      </c>
      <c r="F3" s="559"/>
      <c r="G3" s="559"/>
      <c r="H3" s="559"/>
      <c r="I3" s="559"/>
      <c r="J3" s="557"/>
    </row>
    <row r="4" spans="1:11" ht="57.6" customHeight="1" x14ac:dyDescent="0.25">
      <c r="A4" s="134"/>
      <c r="B4" s="134"/>
      <c r="C4" s="134"/>
      <c r="D4" s="135"/>
      <c r="E4" s="127" t="s">
        <v>260</v>
      </c>
      <c r="F4" s="128" t="s">
        <v>261</v>
      </c>
      <c r="G4" s="128" t="s">
        <v>262</v>
      </c>
      <c r="H4" s="128" t="s">
        <v>263</v>
      </c>
      <c r="I4" s="128" t="s">
        <v>264</v>
      </c>
      <c r="J4" s="128" t="s">
        <v>265</v>
      </c>
    </row>
    <row r="5" spans="1:11" ht="57.6" customHeight="1" x14ac:dyDescent="0.25">
      <c r="A5" s="574" t="s">
        <v>266</v>
      </c>
      <c r="B5" s="574" t="s">
        <v>267</v>
      </c>
      <c r="C5" s="559"/>
      <c r="D5" s="557"/>
      <c r="E5" s="129">
        <v>0</v>
      </c>
      <c r="F5" s="130">
        <v>0</v>
      </c>
      <c r="G5" s="130">
        <v>0</v>
      </c>
      <c r="H5" s="130">
        <v>0</v>
      </c>
      <c r="I5" s="130">
        <v>0</v>
      </c>
      <c r="J5" s="130">
        <v>0</v>
      </c>
    </row>
    <row r="6" spans="1:11" ht="57.6" customHeight="1" x14ac:dyDescent="0.25">
      <c r="A6" s="572"/>
      <c r="B6" s="574" t="s">
        <v>268</v>
      </c>
      <c r="C6" s="559"/>
      <c r="D6" s="557"/>
      <c r="E6" s="129">
        <v>0</v>
      </c>
      <c r="F6" s="130">
        <v>0</v>
      </c>
      <c r="G6" s="130">
        <v>0</v>
      </c>
      <c r="H6" s="130">
        <v>0</v>
      </c>
      <c r="I6" s="130">
        <v>0</v>
      </c>
      <c r="J6" s="130">
        <v>0</v>
      </c>
    </row>
    <row r="7" spans="1:11" ht="57.6" customHeight="1" x14ac:dyDescent="0.25">
      <c r="A7" s="572"/>
      <c r="B7" s="574" t="s">
        <v>269</v>
      </c>
      <c r="C7" s="559"/>
      <c r="D7" s="557"/>
      <c r="E7" s="129">
        <v>0</v>
      </c>
      <c r="F7" s="130">
        <v>0</v>
      </c>
      <c r="G7" s="130">
        <v>0</v>
      </c>
      <c r="H7" s="130">
        <v>0</v>
      </c>
      <c r="I7" s="130">
        <v>0</v>
      </c>
      <c r="J7" s="130">
        <v>0</v>
      </c>
    </row>
    <row r="8" spans="1:11" ht="57.6" customHeight="1" x14ac:dyDescent="0.25">
      <c r="A8" s="572"/>
      <c r="B8" s="574" t="s">
        <v>270</v>
      </c>
      <c r="C8" s="559"/>
      <c r="D8" s="557"/>
      <c r="E8" s="129">
        <v>0</v>
      </c>
      <c r="F8" s="130">
        <v>0</v>
      </c>
      <c r="G8" s="130">
        <v>0</v>
      </c>
      <c r="H8" s="130">
        <v>0</v>
      </c>
      <c r="I8" s="130">
        <v>0</v>
      </c>
      <c r="J8" s="130">
        <v>0</v>
      </c>
    </row>
    <row r="9" spans="1:11" ht="57.6" customHeight="1" x14ac:dyDescent="0.25">
      <c r="A9" s="572"/>
      <c r="B9" s="574" t="s">
        <v>271</v>
      </c>
      <c r="C9" s="574" t="s">
        <v>272</v>
      </c>
      <c r="D9" s="557"/>
      <c r="E9" s="129">
        <v>0</v>
      </c>
      <c r="F9" s="130">
        <v>0</v>
      </c>
      <c r="G9" s="130">
        <v>0</v>
      </c>
      <c r="H9" s="130">
        <v>0</v>
      </c>
      <c r="I9" s="130">
        <v>0</v>
      </c>
      <c r="J9" s="130">
        <v>0</v>
      </c>
    </row>
    <row r="10" spans="1:11" ht="57.6" customHeight="1" x14ac:dyDescent="0.25">
      <c r="A10" s="572"/>
      <c r="B10" s="573"/>
      <c r="C10" s="574" t="s">
        <v>273</v>
      </c>
      <c r="D10" s="557"/>
      <c r="E10" s="129">
        <v>0</v>
      </c>
      <c r="F10" s="130">
        <v>0</v>
      </c>
      <c r="G10" s="130">
        <v>0</v>
      </c>
      <c r="H10" s="130">
        <v>0</v>
      </c>
      <c r="I10" s="130">
        <v>0</v>
      </c>
      <c r="J10" s="130">
        <v>0</v>
      </c>
    </row>
    <row r="11" spans="1:11" ht="57.6" customHeight="1" x14ac:dyDescent="0.25">
      <c r="A11" s="572"/>
      <c r="B11" s="574" t="s">
        <v>274</v>
      </c>
      <c r="C11" s="574" t="s">
        <v>275</v>
      </c>
      <c r="D11" s="557"/>
      <c r="E11" s="129">
        <v>0</v>
      </c>
      <c r="F11" s="130">
        <v>0</v>
      </c>
      <c r="G11" s="130">
        <v>0</v>
      </c>
      <c r="H11" s="130">
        <v>0</v>
      </c>
      <c r="I11" s="130">
        <v>0</v>
      </c>
      <c r="J11" s="130">
        <v>0</v>
      </c>
    </row>
    <row r="12" spans="1:11" ht="57.6" customHeight="1" x14ac:dyDescent="0.25">
      <c r="A12" s="572"/>
      <c r="B12" s="573"/>
      <c r="C12" s="574" t="s">
        <v>276</v>
      </c>
      <c r="D12" s="557"/>
      <c r="E12" s="129">
        <v>0</v>
      </c>
      <c r="F12" s="130">
        <v>0</v>
      </c>
      <c r="G12" s="130">
        <v>0</v>
      </c>
      <c r="H12" s="130">
        <v>0</v>
      </c>
      <c r="I12" s="130">
        <v>0</v>
      </c>
      <c r="J12" s="130">
        <v>0</v>
      </c>
    </row>
    <row r="13" spans="1:11" ht="57.6" customHeight="1" x14ac:dyDescent="0.25">
      <c r="A13" s="573"/>
      <c r="B13" s="574" t="s">
        <v>277</v>
      </c>
      <c r="C13" s="559"/>
      <c r="D13" s="557"/>
      <c r="E13" s="129">
        <v>0</v>
      </c>
      <c r="F13" s="130">
        <v>0</v>
      </c>
      <c r="G13" s="130">
        <v>0</v>
      </c>
      <c r="H13" s="130">
        <v>0</v>
      </c>
      <c r="I13" s="130">
        <v>0</v>
      </c>
      <c r="J13" s="130">
        <v>0</v>
      </c>
    </row>
    <row r="14" spans="1:11" ht="57.6" customHeight="1" x14ac:dyDescent="0.25">
      <c r="A14" s="574" t="s">
        <v>278</v>
      </c>
      <c r="B14" s="131" t="s">
        <v>279</v>
      </c>
      <c r="C14" s="574" t="s">
        <v>280</v>
      </c>
      <c r="D14" s="557"/>
      <c r="E14" s="129">
        <v>0</v>
      </c>
      <c r="F14" s="130">
        <v>0</v>
      </c>
      <c r="G14" s="130">
        <v>0</v>
      </c>
      <c r="H14" s="130">
        <v>0</v>
      </c>
      <c r="I14" s="130">
        <v>0</v>
      </c>
      <c r="J14" s="130">
        <v>0</v>
      </c>
    </row>
    <row r="15" spans="1:11" ht="57.6" customHeight="1" x14ac:dyDescent="0.25">
      <c r="A15" s="572"/>
      <c r="B15" s="574" t="s">
        <v>281</v>
      </c>
      <c r="C15" s="574" t="s">
        <v>282</v>
      </c>
      <c r="D15" s="557"/>
      <c r="E15" s="129">
        <v>0</v>
      </c>
      <c r="F15" s="130">
        <v>0</v>
      </c>
      <c r="G15" s="130">
        <v>0</v>
      </c>
      <c r="H15" s="130">
        <v>0</v>
      </c>
      <c r="I15" s="130">
        <v>0</v>
      </c>
      <c r="J15" s="130">
        <v>0</v>
      </c>
    </row>
    <row r="16" spans="1:11" ht="57.6" customHeight="1" x14ac:dyDescent="0.25">
      <c r="A16" s="572"/>
      <c r="B16" s="572"/>
      <c r="C16" s="574" t="s">
        <v>283</v>
      </c>
      <c r="D16" s="557"/>
      <c r="E16" s="129">
        <v>0</v>
      </c>
      <c r="F16" s="130">
        <v>0</v>
      </c>
      <c r="G16" s="130">
        <v>0</v>
      </c>
      <c r="H16" s="130">
        <v>0</v>
      </c>
      <c r="I16" s="130">
        <v>0</v>
      </c>
      <c r="J16" s="130">
        <v>0</v>
      </c>
    </row>
    <row r="17" spans="1:10" ht="57.6" customHeight="1" x14ac:dyDescent="0.25">
      <c r="A17" s="572"/>
      <c r="B17" s="573"/>
      <c r="C17" s="574" t="s">
        <v>284</v>
      </c>
      <c r="D17" s="557"/>
      <c r="E17" s="129">
        <v>0</v>
      </c>
      <c r="F17" s="130">
        <v>0</v>
      </c>
      <c r="G17" s="130">
        <v>0</v>
      </c>
      <c r="H17" s="130">
        <v>0</v>
      </c>
      <c r="I17" s="130">
        <v>0</v>
      </c>
      <c r="J17" s="130">
        <v>0</v>
      </c>
    </row>
    <row r="18" spans="1:10" ht="57.6" customHeight="1" x14ac:dyDescent="0.25">
      <c r="A18" s="572"/>
      <c r="B18" s="574" t="s">
        <v>285</v>
      </c>
      <c r="C18" s="574" t="s">
        <v>286</v>
      </c>
      <c r="D18" s="557"/>
      <c r="E18" s="129">
        <v>0</v>
      </c>
      <c r="F18" s="129">
        <v>0</v>
      </c>
      <c r="G18" s="129">
        <v>0</v>
      </c>
      <c r="H18" s="129">
        <v>0</v>
      </c>
      <c r="I18" s="129">
        <v>0</v>
      </c>
      <c r="J18" s="130">
        <v>0</v>
      </c>
    </row>
    <row r="19" spans="1:10" ht="57.6" customHeight="1" x14ac:dyDescent="0.25">
      <c r="A19" s="572"/>
      <c r="B19" s="572"/>
      <c r="C19" s="574" t="s">
        <v>287</v>
      </c>
      <c r="D19" s="557"/>
      <c r="E19" s="129">
        <v>0</v>
      </c>
      <c r="F19" s="130">
        <v>0</v>
      </c>
      <c r="G19" s="130">
        <v>0</v>
      </c>
      <c r="H19" s="130">
        <v>0</v>
      </c>
      <c r="I19" s="130">
        <v>0</v>
      </c>
      <c r="J19" s="130">
        <v>0</v>
      </c>
    </row>
    <row r="20" spans="1:10" ht="57.6" customHeight="1" x14ac:dyDescent="0.25">
      <c r="A20" s="572"/>
      <c r="B20" s="573"/>
      <c r="C20" s="574" t="s">
        <v>55</v>
      </c>
      <c r="D20" s="557"/>
      <c r="E20" s="129">
        <v>0</v>
      </c>
      <c r="F20" s="130">
        <v>0</v>
      </c>
      <c r="G20" s="130">
        <v>0.2</v>
      </c>
      <c r="H20" s="130">
        <v>0</v>
      </c>
      <c r="I20" s="130">
        <v>0</v>
      </c>
      <c r="J20" s="130">
        <v>0</v>
      </c>
    </row>
    <row r="21" spans="1:10" ht="57.6" customHeight="1" x14ac:dyDescent="0.25">
      <c r="A21" s="573"/>
      <c r="B21" s="574" t="s">
        <v>288</v>
      </c>
      <c r="C21" s="559"/>
      <c r="D21" s="557"/>
      <c r="E21" s="129">
        <v>0</v>
      </c>
      <c r="F21" s="130">
        <v>0</v>
      </c>
      <c r="G21" s="130">
        <v>0</v>
      </c>
      <c r="H21" s="130">
        <v>0</v>
      </c>
      <c r="I21" s="130">
        <v>0</v>
      </c>
      <c r="J21" s="130">
        <v>0</v>
      </c>
    </row>
    <row r="22" spans="1:10" ht="57.6" customHeight="1" x14ac:dyDescent="0.25">
      <c r="A22" s="571" t="s">
        <v>289</v>
      </c>
      <c r="B22" s="571" t="s">
        <v>290</v>
      </c>
      <c r="C22" s="571" t="s">
        <v>291</v>
      </c>
      <c r="D22" s="557"/>
      <c r="E22" s="130">
        <v>0</v>
      </c>
      <c r="F22" s="130">
        <v>0</v>
      </c>
      <c r="G22" s="130">
        <v>0</v>
      </c>
      <c r="H22" s="130">
        <v>0</v>
      </c>
      <c r="I22" s="130">
        <v>0</v>
      </c>
      <c r="J22" s="130">
        <v>0</v>
      </c>
    </row>
    <row r="23" spans="1:10" ht="57.6" customHeight="1" x14ac:dyDescent="0.25">
      <c r="A23" s="573"/>
      <c r="B23" s="573"/>
      <c r="C23" s="571" t="s">
        <v>56</v>
      </c>
      <c r="D23" s="557"/>
      <c r="E23" s="130">
        <v>0</v>
      </c>
      <c r="F23" s="130">
        <v>0</v>
      </c>
      <c r="G23" s="130">
        <v>0</v>
      </c>
      <c r="H23" s="130">
        <v>0.5</v>
      </c>
      <c r="I23" s="130">
        <v>0</v>
      </c>
      <c r="J23" s="130">
        <v>0</v>
      </c>
    </row>
    <row r="24" spans="1:10" ht="57.6" customHeight="1" x14ac:dyDescent="0.25">
      <c r="A24" s="571" t="s">
        <v>292</v>
      </c>
      <c r="B24" s="571" t="s">
        <v>293</v>
      </c>
      <c r="C24" s="571" t="s">
        <v>294</v>
      </c>
      <c r="D24" s="132" t="s">
        <v>57</v>
      </c>
      <c r="E24" s="130">
        <v>0</v>
      </c>
      <c r="F24" s="130">
        <v>0</v>
      </c>
      <c r="G24" s="130">
        <v>0.2</v>
      </c>
      <c r="H24" s="130">
        <v>0.8</v>
      </c>
      <c r="I24" s="130">
        <v>0</v>
      </c>
      <c r="J24" s="130">
        <v>0</v>
      </c>
    </row>
    <row r="25" spans="1:10" ht="57.6" customHeight="1" x14ac:dyDescent="0.25">
      <c r="A25" s="572"/>
      <c r="B25" s="572"/>
      <c r="C25" s="572"/>
      <c r="D25" s="132" t="s">
        <v>58</v>
      </c>
      <c r="E25" s="130">
        <v>0</v>
      </c>
      <c r="F25" s="130">
        <v>0</v>
      </c>
      <c r="G25" s="130">
        <v>0.2</v>
      </c>
      <c r="H25" s="130">
        <v>0.8</v>
      </c>
      <c r="I25" s="130">
        <v>0</v>
      </c>
      <c r="J25" s="130">
        <v>0</v>
      </c>
    </row>
    <row r="26" spans="1:10" ht="57.6" customHeight="1" x14ac:dyDescent="0.25">
      <c r="A26" s="572"/>
      <c r="B26" s="572"/>
      <c r="C26" s="572"/>
      <c r="D26" s="132" t="s">
        <v>59</v>
      </c>
      <c r="E26" s="130">
        <v>0</v>
      </c>
      <c r="F26" s="130">
        <v>0</v>
      </c>
      <c r="G26" s="130">
        <v>0.2</v>
      </c>
      <c r="H26" s="130">
        <v>0.8</v>
      </c>
      <c r="I26" s="130">
        <v>0</v>
      </c>
      <c r="J26" s="130">
        <v>0</v>
      </c>
    </row>
    <row r="27" spans="1:10" ht="57.6" customHeight="1" x14ac:dyDescent="0.25">
      <c r="A27" s="572"/>
      <c r="B27" s="572"/>
      <c r="C27" s="572"/>
      <c r="D27" s="132" t="s">
        <v>60</v>
      </c>
      <c r="E27" s="130">
        <v>0</v>
      </c>
      <c r="F27" s="130">
        <v>0</v>
      </c>
      <c r="G27" s="130">
        <v>0.2</v>
      </c>
      <c r="H27" s="130">
        <v>0.8</v>
      </c>
      <c r="I27" s="130">
        <v>0</v>
      </c>
      <c r="J27" s="130">
        <v>0</v>
      </c>
    </row>
    <row r="28" spans="1:10" ht="57.6" customHeight="1" x14ac:dyDescent="0.25">
      <c r="A28" s="573"/>
      <c r="B28" s="573"/>
      <c r="C28" s="573"/>
      <c r="D28" s="132" t="s">
        <v>61</v>
      </c>
      <c r="E28" s="130">
        <v>0</v>
      </c>
      <c r="F28" s="130">
        <v>0</v>
      </c>
      <c r="G28" s="130">
        <v>0.2</v>
      </c>
      <c r="H28" s="130">
        <v>0.8</v>
      </c>
      <c r="I28" s="130">
        <v>0</v>
      </c>
      <c r="J28" s="130">
        <v>0</v>
      </c>
    </row>
    <row r="29" spans="1:10" ht="57.6" customHeight="1" x14ac:dyDescent="0.25">
      <c r="A29" s="571" t="s">
        <v>295</v>
      </c>
      <c r="B29" s="571" t="s">
        <v>296</v>
      </c>
      <c r="C29" s="571" t="s">
        <v>297</v>
      </c>
      <c r="D29" s="132" t="s">
        <v>62</v>
      </c>
      <c r="E29" s="136">
        <v>0</v>
      </c>
      <c r="F29" s="136">
        <v>0</v>
      </c>
      <c r="G29" s="130">
        <v>0.2</v>
      </c>
      <c r="H29" s="130">
        <v>0.8</v>
      </c>
      <c r="I29" s="136">
        <v>0</v>
      </c>
      <c r="J29" s="130">
        <v>0</v>
      </c>
    </row>
    <row r="30" spans="1:10" ht="57.6" customHeight="1" x14ac:dyDescent="0.25">
      <c r="A30" s="572"/>
      <c r="B30" s="572"/>
      <c r="C30" s="572"/>
      <c r="D30" s="132" t="s">
        <v>63</v>
      </c>
      <c r="E30" s="136">
        <v>0</v>
      </c>
      <c r="F30" s="136">
        <v>0</v>
      </c>
      <c r="G30" s="130">
        <v>0.2</v>
      </c>
      <c r="H30" s="130">
        <v>0.8</v>
      </c>
      <c r="I30" s="136">
        <v>0</v>
      </c>
      <c r="J30" s="130">
        <v>0</v>
      </c>
    </row>
    <row r="31" spans="1:10" ht="57.6" customHeight="1" x14ac:dyDescent="0.25">
      <c r="A31" s="572"/>
      <c r="B31" s="572"/>
      <c r="C31" s="572"/>
      <c r="D31" s="132" t="s">
        <v>64</v>
      </c>
      <c r="E31" s="136">
        <v>0</v>
      </c>
      <c r="F31" s="136">
        <v>0</v>
      </c>
      <c r="G31" s="130">
        <v>0.2</v>
      </c>
      <c r="H31" s="130">
        <v>0.8</v>
      </c>
      <c r="I31" s="136">
        <v>0</v>
      </c>
      <c r="J31" s="130">
        <v>0</v>
      </c>
    </row>
    <row r="32" spans="1:10" ht="57.6" customHeight="1" x14ac:dyDescent="0.25">
      <c r="A32" s="572"/>
      <c r="B32" s="572"/>
      <c r="C32" s="572"/>
      <c r="D32" s="132" t="s">
        <v>65</v>
      </c>
      <c r="E32" s="136">
        <v>0</v>
      </c>
      <c r="F32" s="136">
        <v>0</v>
      </c>
      <c r="G32" s="130">
        <v>0.2</v>
      </c>
      <c r="H32" s="130">
        <v>0.8</v>
      </c>
      <c r="I32" s="136">
        <v>0</v>
      </c>
      <c r="J32" s="130">
        <v>0</v>
      </c>
    </row>
    <row r="33" spans="1:10" ht="57.6" customHeight="1" x14ac:dyDescent="0.25">
      <c r="A33" s="572"/>
      <c r="B33" s="572"/>
      <c r="C33" s="572"/>
      <c r="D33" s="132" t="s">
        <v>66</v>
      </c>
      <c r="E33" s="136">
        <v>0</v>
      </c>
      <c r="F33" s="136">
        <v>0</v>
      </c>
      <c r="G33" s="130">
        <v>0.2</v>
      </c>
      <c r="H33" s="130">
        <v>0.8</v>
      </c>
      <c r="I33" s="136">
        <v>0</v>
      </c>
      <c r="J33" s="130">
        <v>0</v>
      </c>
    </row>
    <row r="34" spans="1:10" ht="57.6" customHeight="1" x14ac:dyDescent="0.25">
      <c r="A34" s="572"/>
      <c r="B34" s="572"/>
      <c r="C34" s="572"/>
      <c r="D34" s="132" t="s">
        <v>67</v>
      </c>
      <c r="E34" s="136">
        <v>0</v>
      </c>
      <c r="F34" s="136">
        <v>0</v>
      </c>
      <c r="G34" s="130">
        <v>0.2</v>
      </c>
      <c r="H34" s="130">
        <v>0.8</v>
      </c>
      <c r="I34" s="136">
        <v>0</v>
      </c>
      <c r="J34" s="130">
        <v>0</v>
      </c>
    </row>
    <row r="35" spans="1:10" ht="57.6" customHeight="1" x14ac:dyDescent="0.25">
      <c r="A35" s="572"/>
      <c r="B35" s="572"/>
      <c r="C35" s="573"/>
      <c r="D35" s="132" t="s">
        <v>68</v>
      </c>
      <c r="E35" s="136">
        <v>0</v>
      </c>
      <c r="F35" s="136">
        <v>0</v>
      </c>
      <c r="G35" s="130">
        <v>0.2</v>
      </c>
      <c r="H35" s="130">
        <v>0.8</v>
      </c>
      <c r="I35" s="136">
        <v>0</v>
      </c>
      <c r="J35" s="130">
        <v>0</v>
      </c>
    </row>
    <row r="36" spans="1:10" ht="57.6" customHeight="1" x14ac:dyDescent="0.25">
      <c r="A36" s="572"/>
      <c r="B36" s="572"/>
      <c r="C36" s="571" t="s">
        <v>298</v>
      </c>
      <c r="D36" s="132" t="s">
        <v>69</v>
      </c>
      <c r="E36" s="136">
        <v>0</v>
      </c>
      <c r="F36" s="136">
        <v>0</v>
      </c>
      <c r="G36" s="130">
        <v>0.2</v>
      </c>
      <c r="H36" s="130">
        <v>0.8</v>
      </c>
      <c r="I36" s="136">
        <v>0</v>
      </c>
      <c r="J36" s="130">
        <v>0</v>
      </c>
    </row>
    <row r="37" spans="1:10" ht="57.6" customHeight="1" x14ac:dyDescent="0.25">
      <c r="A37" s="572"/>
      <c r="B37" s="572"/>
      <c r="C37" s="572"/>
      <c r="D37" s="132" t="s">
        <v>70</v>
      </c>
      <c r="E37" s="136">
        <v>0</v>
      </c>
      <c r="F37" s="136">
        <v>0</v>
      </c>
      <c r="G37" s="130">
        <v>0.2</v>
      </c>
      <c r="H37" s="130">
        <v>0.8</v>
      </c>
      <c r="I37" s="136">
        <v>0</v>
      </c>
      <c r="J37" s="130">
        <v>0</v>
      </c>
    </row>
    <row r="38" spans="1:10" ht="57.6" customHeight="1" x14ac:dyDescent="0.25">
      <c r="A38" s="573"/>
      <c r="B38" s="573"/>
      <c r="C38" s="573"/>
      <c r="D38" s="132" t="s">
        <v>71</v>
      </c>
      <c r="E38" s="136">
        <v>0</v>
      </c>
      <c r="F38" s="136">
        <v>0</v>
      </c>
      <c r="G38" s="130">
        <v>0.2</v>
      </c>
      <c r="H38" s="130">
        <v>0.8</v>
      </c>
      <c r="I38" s="136">
        <v>0</v>
      </c>
      <c r="J38" s="130">
        <v>0</v>
      </c>
    </row>
    <row r="39" spans="1:10" ht="57.6" customHeight="1" x14ac:dyDescent="0.25">
      <c r="A39" s="571" t="s">
        <v>72</v>
      </c>
      <c r="B39" s="559"/>
      <c r="C39" s="559"/>
      <c r="D39" s="557"/>
      <c r="E39" s="130">
        <v>0</v>
      </c>
      <c r="F39" s="130">
        <v>0</v>
      </c>
      <c r="G39" s="130">
        <v>0</v>
      </c>
      <c r="H39" s="130">
        <v>1</v>
      </c>
      <c r="I39" s="130">
        <v>0</v>
      </c>
      <c r="J39" s="130">
        <v>0</v>
      </c>
    </row>
    <row r="40" spans="1:10" ht="57.6" customHeight="1" x14ac:dyDescent="0.25">
      <c r="A40" s="575" t="s">
        <v>299</v>
      </c>
      <c r="B40" s="575" t="s">
        <v>300</v>
      </c>
      <c r="C40" s="575" t="s">
        <v>73</v>
      </c>
      <c r="D40" s="557"/>
      <c r="E40" s="130">
        <v>0</v>
      </c>
      <c r="F40" s="130">
        <v>0</v>
      </c>
      <c r="G40" s="130">
        <v>0</v>
      </c>
      <c r="H40" s="130">
        <v>0.5</v>
      </c>
      <c r="I40" s="130">
        <v>0</v>
      </c>
      <c r="J40" s="130">
        <v>0</v>
      </c>
    </row>
    <row r="41" spans="1:10" ht="57.6" customHeight="1" x14ac:dyDescent="0.25">
      <c r="A41" s="572"/>
      <c r="B41" s="572"/>
      <c r="C41" s="575" t="s">
        <v>74</v>
      </c>
      <c r="D41" s="557"/>
      <c r="E41" s="130">
        <v>0</v>
      </c>
      <c r="F41" s="130">
        <v>0</v>
      </c>
      <c r="G41" s="130">
        <v>0</v>
      </c>
      <c r="H41" s="130">
        <v>0.5</v>
      </c>
      <c r="I41" s="130">
        <v>0</v>
      </c>
      <c r="J41" s="130">
        <v>0</v>
      </c>
    </row>
    <row r="42" spans="1:10" ht="57.6" customHeight="1" x14ac:dyDescent="0.25">
      <c r="A42" s="573"/>
      <c r="B42" s="573"/>
      <c r="C42" s="575" t="s">
        <v>75</v>
      </c>
      <c r="D42" s="557"/>
      <c r="E42" s="130">
        <v>0</v>
      </c>
      <c r="F42" s="130">
        <v>0</v>
      </c>
      <c r="G42" s="130">
        <v>0</v>
      </c>
      <c r="H42" s="130">
        <v>0.5</v>
      </c>
      <c r="I42" s="130">
        <v>0</v>
      </c>
      <c r="J42" s="130">
        <v>0</v>
      </c>
    </row>
    <row r="43" spans="1:10" ht="57.6" customHeight="1" x14ac:dyDescent="0.25">
      <c r="A43" s="575" t="s">
        <v>301</v>
      </c>
      <c r="B43" s="559"/>
      <c r="C43" s="559"/>
      <c r="D43" s="557"/>
      <c r="E43" s="130">
        <v>0</v>
      </c>
      <c r="F43" s="130">
        <v>0</v>
      </c>
      <c r="G43" s="130">
        <v>0</v>
      </c>
      <c r="H43" s="130">
        <v>0</v>
      </c>
      <c r="I43" s="130">
        <v>0</v>
      </c>
      <c r="J43" s="130">
        <v>0</v>
      </c>
    </row>
    <row r="44" spans="1:10" ht="57.6" customHeight="1" x14ac:dyDescent="0.25">
      <c r="A44" s="575" t="s">
        <v>302</v>
      </c>
      <c r="B44" s="559"/>
      <c r="C44" s="559"/>
      <c r="D44" s="557"/>
      <c r="E44" s="130">
        <v>0</v>
      </c>
      <c r="F44" s="130">
        <v>0</v>
      </c>
      <c r="G44" s="130">
        <v>0</v>
      </c>
      <c r="H44" s="130">
        <v>0</v>
      </c>
      <c r="I44" s="130">
        <v>0</v>
      </c>
      <c r="J44" s="130">
        <v>0</v>
      </c>
    </row>
    <row r="47" spans="1:10" ht="27.95" customHeight="1" x14ac:dyDescent="0.25">
      <c r="A47" s="133"/>
    </row>
    <row r="48" spans="1:10" ht="35.1" customHeight="1" x14ac:dyDescent="0.25">
      <c r="A48" s="133"/>
    </row>
    <row r="49" spans="1:1" ht="14.45" customHeight="1" x14ac:dyDescent="0.25">
      <c r="A49" s="133"/>
    </row>
  </sheetData>
  <sheetProtection algorithmName="SHA-512" hashValue="uSZPrhlNQqkHtbEFMM0vP29EAL9pdJAe2IWdG7ffEKipAepxLO4R9x/7qhzsqS9gHeMNBERwSYVHjziLDWvs3g==" saltValue="2j4coPqgMgjRnbYXk/0DJQ==" spinCount="100000" sheet="1" objects="1" scenarios="1"/>
  <mergeCells count="44">
    <mergeCell ref="A14:A21"/>
    <mergeCell ref="C24:C28"/>
    <mergeCell ref="E3:J3"/>
    <mergeCell ref="C23:D23"/>
    <mergeCell ref="C17:D17"/>
    <mergeCell ref="B18:B20"/>
    <mergeCell ref="B22:B23"/>
    <mergeCell ref="C19:D19"/>
    <mergeCell ref="B21:D21"/>
    <mergeCell ref="C18:D18"/>
    <mergeCell ref="B5:D5"/>
    <mergeCell ref="B7:D7"/>
    <mergeCell ref="A43:D43"/>
    <mergeCell ref="A1:K1"/>
    <mergeCell ref="A44:D44"/>
    <mergeCell ref="C20:D20"/>
    <mergeCell ref="A5:A13"/>
    <mergeCell ref="C10:D10"/>
    <mergeCell ref="C16:D16"/>
    <mergeCell ref="B24:B28"/>
    <mergeCell ref="C41:D41"/>
    <mergeCell ref="A39:D39"/>
    <mergeCell ref="C22:D22"/>
    <mergeCell ref="C40:D40"/>
    <mergeCell ref="C9:D9"/>
    <mergeCell ref="B6:D6"/>
    <mergeCell ref="A40:A42"/>
    <mergeCell ref="B9:B10"/>
    <mergeCell ref="A29:A38"/>
    <mergeCell ref="C15:D15"/>
    <mergeCell ref="B40:B42"/>
    <mergeCell ref="B8:D8"/>
    <mergeCell ref="C42:D42"/>
    <mergeCell ref="B11:B12"/>
    <mergeCell ref="B13:D13"/>
    <mergeCell ref="C14:D14"/>
    <mergeCell ref="B15:B17"/>
    <mergeCell ref="C12:D12"/>
    <mergeCell ref="B29:B38"/>
    <mergeCell ref="C29:C35"/>
    <mergeCell ref="C36:C38"/>
    <mergeCell ref="A22:A23"/>
    <mergeCell ref="C11:D11"/>
    <mergeCell ref="A24:A28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olha11">
    <tabColor rgb="FF7030A0"/>
  </sheetPr>
  <dimension ref="A1:O49"/>
  <sheetViews>
    <sheetView workbookViewId="0">
      <selection activeCell="I10" sqref="I10"/>
    </sheetView>
  </sheetViews>
  <sheetFormatPr defaultColWidth="8.7109375" defaultRowHeight="12.75" x14ac:dyDescent="0.25"/>
  <cols>
    <col min="1" max="4" width="15.140625" style="125" customWidth="1"/>
    <col min="5" max="5" width="13" style="125" bestFit="1" customWidth="1"/>
    <col min="6" max="6" width="12.140625" style="125" bestFit="1" customWidth="1"/>
    <col min="7" max="7" width="11.28515625" style="125" bestFit="1" customWidth="1"/>
    <col min="8" max="10" width="8.7109375" style="125" customWidth="1"/>
    <col min="11" max="11" width="12.28515625" style="125" customWidth="1"/>
    <col min="12" max="12" width="11.42578125" style="125" customWidth="1"/>
    <col min="13" max="13" width="8.7109375" style="125" customWidth="1"/>
    <col min="14" max="16384" width="8.7109375" style="125"/>
  </cols>
  <sheetData>
    <row r="1" spans="1:15" s="209" customFormat="1" ht="22.5" customHeight="1" x14ac:dyDescent="0.25">
      <c r="A1" s="534" t="s">
        <v>201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</row>
    <row r="2" spans="1:15" s="211" customFormat="1" ht="36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</row>
    <row r="3" spans="1:15" ht="44.45" customHeight="1" x14ac:dyDescent="0.25">
      <c r="E3" s="578" t="s">
        <v>303</v>
      </c>
      <c r="F3" s="579"/>
      <c r="G3" s="579"/>
      <c r="H3" s="579"/>
      <c r="I3" s="579"/>
      <c r="J3" s="580"/>
      <c r="K3" s="251"/>
      <c r="L3" s="251"/>
      <c r="M3" s="251"/>
      <c r="N3" s="252"/>
    </row>
    <row r="4" spans="1:15" ht="57.6" customHeight="1" x14ac:dyDescent="0.25">
      <c r="A4" s="134"/>
      <c r="B4" s="134"/>
      <c r="C4" s="134"/>
      <c r="D4" s="135"/>
      <c r="E4" s="128" t="s">
        <v>260</v>
      </c>
      <c r="F4" s="128" t="s">
        <v>261</v>
      </c>
      <c r="G4" s="128" t="s">
        <v>262</v>
      </c>
      <c r="H4" s="128" t="s">
        <v>263</v>
      </c>
      <c r="I4" s="128" t="s">
        <v>264</v>
      </c>
      <c r="J4" s="128" t="s">
        <v>265</v>
      </c>
      <c r="K4" s="139" t="s">
        <v>304</v>
      </c>
      <c r="L4" s="139" t="s">
        <v>305</v>
      </c>
      <c r="M4" s="139" t="s">
        <v>306</v>
      </c>
      <c r="N4" s="140" t="s">
        <v>307</v>
      </c>
      <c r="O4" s="140" t="s">
        <v>308</v>
      </c>
    </row>
    <row r="5" spans="1:15" ht="57.6" customHeight="1" x14ac:dyDescent="0.25">
      <c r="A5" s="574" t="s">
        <v>266</v>
      </c>
      <c r="B5" s="574" t="s">
        <v>267</v>
      </c>
      <c r="C5" s="559"/>
      <c r="D5" s="557"/>
      <c r="E5" s="141">
        <f>IF('FE-FxServ-Exploração'!E5=0,0,'FE-Faixa de Servidão'!$C$8*'FE-FxServ-Exploração'!E5)</f>
        <v>0</v>
      </c>
      <c r="F5" s="141">
        <f>IF('FE-FxServ-Exploração'!F5=0,0,'FE-Faixa de Servidão'!$C$8*'FE-FxServ-Exploração'!F5)</f>
        <v>0</v>
      </c>
      <c r="G5" s="141">
        <f>IF('FE-FxServ-Exploração'!G5=0,0,'FE-Faixa de Servidão'!$C$9*'FE-FxServ-Exploração'!G5)</f>
        <v>0</v>
      </c>
      <c r="H5" s="141">
        <f>IF('FE-FxServ-Exploração'!H5=0,0,'FE-Faixa de Servidão'!$C$10*'FE-FxServ-Exploração'!H5)</f>
        <v>0</v>
      </c>
      <c r="I5" s="141">
        <f>IF('FE-FxServ-Exploração'!I5=0,0,'FE-Faixa de Servidão'!$C$11*'FE-FxServ-Exploração'!I5)</f>
        <v>0</v>
      </c>
      <c r="J5" s="141">
        <f>IF('FE-FxServ-Exploração'!J5=0,0,'FE-Faixa de Servidão'!$C$12*'FE-FxServ-Exploração'!J5)</f>
        <v>0</v>
      </c>
      <c r="K5" s="141">
        <f t="shared" ref="K5:K44" si="0">SUM(E5:J5)</f>
        <v>0</v>
      </c>
      <c r="L5" s="141">
        <f>IF(K5=0,0,K5+'FE-Faixa de Servidão'!$E$8)</f>
        <v>0</v>
      </c>
      <c r="M5" s="141"/>
      <c r="N5" s="141">
        <f t="shared" ref="N5:N44" si="1">L5*M5</f>
        <v>0</v>
      </c>
      <c r="O5" s="146">
        <f>SUM(N5:N13)</f>
        <v>0</v>
      </c>
    </row>
    <row r="6" spans="1:15" ht="57.6" customHeight="1" x14ac:dyDescent="0.25">
      <c r="A6" s="572"/>
      <c r="B6" s="574" t="s">
        <v>268</v>
      </c>
      <c r="C6" s="559"/>
      <c r="D6" s="557"/>
      <c r="E6" s="141">
        <f>IF('FE-FxServ-Exploração'!E6=0,0,'FE-Faixa de Servidão'!$C$8*'FE-FxServ-Exploração'!E6)</f>
        <v>0</v>
      </c>
      <c r="F6" s="141">
        <f>IF('FE-FxServ-Exploração'!F6=0,0,'FE-Faixa de Servidão'!$C$8*'FE-FxServ-Exploração'!F6)</f>
        <v>0</v>
      </c>
      <c r="G6" s="141">
        <f>IF('FE-FxServ-Exploração'!G6=0,0,'FE-Faixa de Servidão'!$C$9*'FE-FxServ-Exploração'!G6)</f>
        <v>0</v>
      </c>
      <c r="H6" s="141">
        <f>IF('FE-FxServ-Exploração'!H6=0,0,'FE-Faixa de Servidão'!$C$10*'FE-FxServ-Exploração'!H6)</f>
        <v>0</v>
      </c>
      <c r="I6" s="141">
        <f>IF('FE-FxServ-Exploração'!I6=0,0,'FE-Faixa de Servidão'!$C$11*'FE-FxServ-Exploração'!I6)</f>
        <v>0</v>
      </c>
      <c r="J6" s="141">
        <f>IF('FE-FxServ-Exploração'!J6=0,0,'FE-Faixa de Servidão'!$C$12*'FE-FxServ-Exploração'!J6)</f>
        <v>0</v>
      </c>
      <c r="K6" s="141">
        <f t="shared" si="0"/>
        <v>0</v>
      </c>
      <c r="L6" s="141">
        <f>IF(K6=0,0,K6+'FE-Faixa de Servidão'!$E$8)</f>
        <v>0</v>
      </c>
      <c r="M6" s="141"/>
      <c r="N6" s="141">
        <f t="shared" si="1"/>
        <v>0</v>
      </c>
      <c r="O6" s="143"/>
    </row>
    <row r="7" spans="1:15" ht="57.6" customHeight="1" x14ac:dyDescent="0.25">
      <c r="A7" s="572"/>
      <c r="B7" s="574" t="s">
        <v>269</v>
      </c>
      <c r="C7" s="559"/>
      <c r="D7" s="557"/>
      <c r="E7" s="141">
        <f>IF('FE-FxServ-Exploração'!E7=0,0,'FE-Faixa de Servidão'!$C$8*'FE-FxServ-Exploração'!E7)</f>
        <v>0</v>
      </c>
      <c r="F7" s="141">
        <f>IF('FE-FxServ-Exploração'!F7=0,0,'FE-Faixa de Servidão'!$C$8*'FE-FxServ-Exploração'!F7)</f>
        <v>0</v>
      </c>
      <c r="G7" s="141">
        <f>IF('FE-FxServ-Exploração'!G7=0,0,'FE-Faixa de Servidão'!$C$9*'FE-FxServ-Exploração'!G7)</f>
        <v>0</v>
      </c>
      <c r="H7" s="141">
        <f>IF('FE-FxServ-Exploração'!H7=0,0,'FE-Faixa de Servidão'!$C$10*'FE-FxServ-Exploração'!H7)</f>
        <v>0</v>
      </c>
      <c r="I7" s="141">
        <f>IF('FE-FxServ-Exploração'!I7=0,0,'FE-Faixa de Servidão'!$C$11*'FE-FxServ-Exploração'!I7)</f>
        <v>0</v>
      </c>
      <c r="J7" s="141">
        <f>IF('FE-FxServ-Exploração'!J7=0,0,'FE-Faixa de Servidão'!$C$12*'FE-FxServ-Exploração'!J7)</f>
        <v>0</v>
      </c>
      <c r="K7" s="141">
        <f t="shared" si="0"/>
        <v>0</v>
      </c>
      <c r="L7" s="141">
        <f>IF(K7=0,0,K7+'FE-Faixa de Servidão'!$E$8)</f>
        <v>0</v>
      </c>
      <c r="M7" s="141"/>
      <c r="N7" s="141">
        <f t="shared" si="1"/>
        <v>0</v>
      </c>
      <c r="O7" s="143"/>
    </row>
    <row r="8" spans="1:15" ht="57.6" customHeight="1" x14ac:dyDescent="0.25">
      <c r="A8" s="572"/>
      <c r="B8" s="574" t="s">
        <v>270</v>
      </c>
      <c r="C8" s="559"/>
      <c r="D8" s="557"/>
      <c r="E8" s="141">
        <f>IF('FE-FxServ-Exploração'!E8=0,0,'FE-Faixa de Servidão'!$C$8*'FE-FxServ-Exploração'!E8)</f>
        <v>0</v>
      </c>
      <c r="F8" s="141">
        <f>IF('FE-FxServ-Exploração'!F8=0,0,'FE-Faixa de Servidão'!$C$8*'FE-FxServ-Exploração'!F8)</f>
        <v>0</v>
      </c>
      <c r="G8" s="141">
        <f>IF('FE-FxServ-Exploração'!G8=0,0,'FE-Faixa de Servidão'!$C$9*'FE-FxServ-Exploração'!G8)</f>
        <v>0</v>
      </c>
      <c r="H8" s="141">
        <f>IF('FE-FxServ-Exploração'!H8=0,0,'FE-Faixa de Servidão'!$C$10*'FE-FxServ-Exploração'!H8)</f>
        <v>0</v>
      </c>
      <c r="I8" s="141">
        <f>IF('FE-FxServ-Exploração'!I8=0,0,'FE-Faixa de Servidão'!$C$11*'FE-FxServ-Exploração'!I8)</f>
        <v>0</v>
      </c>
      <c r="J8" s="141">
        <f>IF('FE-FxServ-Exploração'!J8=0,0,'FE-Faixa de Servidão'!$C$12*'FE-FxServ-Exploração'!J8)</f>
        <v>0</v>
      </c>
      <c r="K8" s="141">
        <f t="shared" si="0"/>
        <v>0</v>
      </c>
      <c r="L8" s="141">
        <f>IF(K8=0,0,K8+'FE-Faixa de Servidão'!$E$8)</f>
        <v>0</v>
      </c>
      <c r="M8" s="141"/>
      <c r="N8" s="141">
        <f t="shared" si="1"/>
        <v>0</v>
      </c>
      <c r="O8" s="143"/>
    </row>
    <row r="9" spans="1:15" ht="57.6" customHeight="1" x14ac:dyDescent="0.25">
      <c r="A9" s="572"/>
      <c r="B9" s="574" t="s">
        <v>271</v>
      </c>
      <c r="C9" s="574" t="s">
        <v>272</v>
      </c>
      <c r="D9" s="557"/>
      <c r="E9" s="141">
        <f>IF('FE-FxServ-Exploração'!E9=0,0,'FE-Faixa de Servidão'!$C$8*'FE-FxServ-Exploração'!E9)</f>
        <v>0</v>
      </c>
      <c r="F9" s="141">
        <f>IF('FE-FxServ-Exploração'!F9=0,0,'FE-Faixa de Servidão'!$C$8*'FE-FxServ-Exploração'!F9)</f>
        <v>0</v>
      </c>
      <c r="G9" s="141">
        <f>IF('FE-FxServ-Exploração'!G9=0,0,'FE-Faixa de Servidão'!$C$9*'FE-FxServ-Exploração'!G9)</f>
        <v>0</v>
      </c>
      <c r="H9" s="141">
        <f>IF('FE-FxServ-Exploração'!H9=0,0,'FE-Faixa de Servidão'!$C$10*'FE-FxServ-Exploração'!H9)</f>
        <v>0</v>
      </c>
      <c r="I9" s="141">
        <f>IF('FE-FxServ-Exploração'!I9=0,0,'FE-Faixa de Servidão'!$C$11*'FE-FxServ-Exploração'!I9)</f>
        <v>0</v>
      </c>
      <c r="J9" s="141">
        <f>IF('FE-FxServ-Exploração'!J9=0,0,'FE-Faixa de Servidão'!$C$12*'FE-FxServ-Exploração'!J9)</f>
        <v>0</v>
      </c>
      <c r="K9" s="141">
        <f t="shared" si="0"/>
        <v>0</v>
      </c>
      <c r="L9" s="141">
        <f>IF(K9=0,0,K9+'FE-Faixa de Servidão'!$E$8)</f>
        <v>0</v>
      </c>
      <c r="M9" s="141"/>
      <c r="N9" s="141">
        <f t="shared" si="1"/>
        <v>0</v>
      </c>
      <c r="O9" s="143"/>
    </row>
    <row r="10" spans="1:15" ht="57.6" customHeight="1" x14ac:dyDescent="0.25">
      <c r="A10" s="572"/>
      <c r="B10" s="573"/>
      <c r="C10" s="574" t="s">
        <v>273</v>
      </c>
      <c r="D10" s="557"/>
      <c r="E10" s="141">
        <f>IF('FE-FxServ-Exploração'!E10=0,0,'FE-Faixa de Servidão'!$C$8*'FE-FxServ-Exploração'!E10)</f>
        <v>0</v>
      </c>
      <c r="F10" s="141">
        <f>IF('FE-FxServ-Exploração'!F10=0,0,'FE-Faixa de Servidão'!$C$8*'FE-FxServ-Exploração'!F10)</f>
        <v>0</v>
      </c>
      <c r="G10" s="141">
        <f>IF('FE-FxServ-Exploração'!G10=0,0,'FE-Faixa de Servidão'!$C$9*'FE-FxServ-Exploração'!G10)</f>
        <v>0</v>
      </c>
      <c r="H10" s="141">
        <f>IF('FE-FxServ-Exploração'!H10=0,0,'FE-Faixa de Servidão'!$C$10*'FE-FxServ-Exploração'!H10)</f>
        <v>0</v>
      </c>
      <c r="I10" s="141">
        <f>IF('FE-FxServ-Exploração'!I10=0,0,'FE-Faixa de Servidão'!$C$11*'FE-FxServ-Exploração'!I10)</f>
        <v>0</v>
      </c>
      <c r="J10" s="141">
        <f>IF('FE-FxServ-Exploração'!J10=0,0,'FE-Faixa de Servidão'!$C$12*'FE-FxServ-Exploração'!J10)</f>
        <v>0</v>
      </c>
      <c r="K10" s="141">
        <f t="shared" si="0"/>
        <v>0</v>
      </c>
      <c r="L10" s="141">
        <f>IF(K10=0,0,K10+'FE-Faixa de Servidão'!$E$8)</f>
        <v>0</v>
      </c>
      <c r="M10" s="141"/>
      <c r="N10" s="141">
        <f t="shared" si="1"/>
        <v>0</v>
      </c>
      <c r="O10" s="143"/>
    </row>
    <row r="11" spans="1:15" ht="57.6" customHeight="1" x14ac:dyDescent="0.25">
      <c r="A11" s="572"/>
      <c r="B11" s="574" t="s">
        <v>274</v>
      </c>
      <c r="C11" s="574" t="s">
        <v>275</v>
      </c>
      <c r="D11" s="557"/>
      <c r="E11" s="141">
        <f>IF('FE-FxServ-Exploração'!E11=0,0,'FE-Faixa de Servidão'!$C$8*'FE-FxServ-Exploração'!E11)</f>
        <v>0</v>
      </c>
      <c r="F11" s="141">
        <f>IF('FE-FxServ-Exploração'!F11=0,0,'FE-Faixa de Servidão'!$C$8*'FE-FxServ-Exploração'!F11)</f>
        <v>0</v>
      </c>
      <c r="G11" s="141">
        <f>IF('FE-FxServ-Exploração'!G11=0,0,'FE-Faixa de Servidão'!$C$9*'FE-FxServ-Exploração'!G11)</f>
        <v>0</v>
      </c>
      <c r="H11" s="141">
        <f>IF('FE-FxServ-Exploração'!H11=0,0,'FE-Faixa de Servidão'!$C$10*'FE-FxServ-Exploração'!H11)</f>
        <v>0</v>
      </c>
      <c r="I11" s="141">
        <f>IF('FE-FxServ-Exploração'!I11=0,0,'FE-Faixa de Servidão'!$C$11*'FE-FxServ-Exploração'!I11)</f>
        <v>0</v>
      </c>
      <c r="J11" s="141">
        <f>IF('FE-FxServ-Exploração'!J11=0,0,'FE-Faixa de Servidão'!$C$12*'FE-FxServ-Exploração'!J11)</f>
        <v>0</v>
      </c>
      <c r="K11" s="141">
        <f t="shared" si="0"/>
        <v>0</v>
      </c>
      <c r="L11" s="141">
        <f>IF(K11=0,0,K11+'FE-Faixa de Servidão'!$E$8)</f>
        <v>0</v>
      </c>
      <c r="M11" s="141"/>
      <c r="N11" s="141">
        <f t="shared" si="1"/>
        <v>0</v>
      </c>
      <c r="O11" s="143"/>
    </row>
    <row r="12" spans="1:15" ht="57.6" customHeight="1" x14ac:dyDescent="0.25">
      <c r="A12" s="572"/>
      <c r="B12" s="573"/>
      <c r="C12" s="574" t="s">
        <v>276</v>
      </c>
      <c r="D12" s="557"/>
      <c r="E12" s="141">
        <f>IF('FE-FxServ-Exploração'!E12=0,0,'FE-Faixa de Servidão'!$C$8*'FE-FxServ-Exploração'!E12)</f>
        <v>0</v>
      </c>
      <c r="F12" s="141">
        <f>IF('FE-FxServ-Exploração'!F12=0,0,'FE-Faixa de Servidão'!$C$8*'FE-FxServ-Exploração'!F12)</f>
        <v>0</v>
      </c>
      <c r="G12" s="141">
        <f>IF('FE-FxServ-Exploração'!G12=0,0,'FE-Faixa de Servidão'!$C$9*'FE-FxServ-Exploração'!G12)</f>
        <v>0</v>
      </c>
      <c r="H12" s="141">
        <f>IF('FE-FxServ-Exploração'!H12=0,0,'FE-Faixa de Servidão'!$C$10*'FE-FxServ-Exploração'!H12)</f>
        <v>0</v>
      </c>
      <c r="I12" s="141">
        <f>IF('FE-FxServ-Exploração'!I12=0,0,'FE-Faixa de Servidão'!$C$11*'FE-FxServ-Exploração'!I12)</f>
        <v>0</v>
      </c>
      <c r="J12" s="141">
        <f>IF('FE-FxServ-Exploração'!J12=0,0,'FE-Faixa de Servidão'!$C$12*'FE-FxServ-Exploração'!J12)</f>
        <v>0</v>
      </c>
      <c r="K12" s="141">
        <f t="shared" si="0"/>
        <v>0</v>
      </c>
      <c r="L12" s="141">
        <f>IF(K12=0,0,K12+'FE-Faixa de Servidão'!$E$8)</f>
        <v>0</v>
      </c>
      <c r="M12" s="141"/>
      <c r="N12" s="141">
        <f t="shared" si="1"/>
        <v>0</v>
      </c>
      <c r="O12" s="143"/>
    </row>
    <row r="13" spans="1:15" ht="57.6" customHeight="1" x14ac:dyDescent="0.25">
      <c r="A13" s="573"/>
      <c r="B13" s="574" t="s">
        <v>277</v>
      </c>
      <c r="C13" s="559"/>
      <c r="D13" s="557"/>
      <c r="E13" s="141">
        <f>IF('FE-FxServ-Exploração'!E13=0,0,'FE-Faixa de Servidão'!$C$8*'FE-FxServ-Exploração'!E13)</f>
        <v>0</v>
      </c>
      <c r="F13" s="141">
        <f>IF('FE-FxServ-Exploração'!F13=0,0,'FE-Faixa de Servidão'!$C$8*'FE-FxServ-Exploração'!F13)</f>
        <v>0</v>
      </c>
      <c r="G13" s="141">
        <f>IF('FE-FxServ-Exploração'!G13=0,0,'FE-Faixa de Servidão'!$C$9*'FE-FxServ-Exploração'!G13)</f>
        <v>0</v>
      </c>
      <c r="H13" s="141">
        <f>IF('FE-FxServ-Exploração'!H13=0,0,'FE-Faixa de Servidão'!$C$10*'FE-FxServ-Exploração'!H13)</f>
        <v>0</v>
      </c>
      <c r="I13" s="141">
        <f>IF('FE-FxServ-Exploração'!I13=0,0,'FE-Faixa de Servidão'!$C$11*'FE-FxServ-Exploração'!I13)</f>
        <v>0</v>
      </c>
      <c r="J13" s="141">
        <f>IF('FE-FxServ-Exploração'!J13=0,0,'FE-Faixa de Servidão'!$C$12*'FE-FxServ-Exploração'!J13)</f>
        <v>0</v>
      </c>
      <c r="K13" s="141">
        <f t="shared" si="0"/>
        <v>0</v>
      </c>
      <c r="L13" s="141">
        <f>IF(K13=0,0,K13+'FE-Faixa de Servidão'!$E$8)</f>
        <v>0</v>
      </c>
      <c r="M13" s="141"/>
      <c r="N13" s="141">
        <f t="shared" si="1"/>
        <v>0</v>
      </c>
      <c r="O13" s="143"/>
    </row>
    <row r="14" spans="1:15" ht="57.6" customHeight="1" x14ac:dyDescent="0.25">
      <c r="A14" s="574" t="s">
        <v>278</v>
      </c>
      <c r="B14" s="131" t="s">
        <v>279</v>
      </c>
      <c r="C14" s="574" t="s">
        <v>280</v>
      </c>
      <c r="D14" s="557"/>
      <c r="E14" s="141">
        <f>IF('FE-FxServ-Exploração'!E14=0,0,'FE-Faixa de Servidão'!$C$8*'FE-FxServ-Exploração'!E14)</f>
        <v>0</v>
      </c>
      <c r="F14" s="141">
        <f>IF('FE-FxServ-Exploração'!F14=0,0,'FE-Faixa de Servidão'!$C$8*'FE-FxServ-Exploração'!F14)</f>
        <v>0</v>
      </c>
      <c r="G14" s="141">
        <f>IF('FE-FxServ-Exploração'!G14=0,0,'FE-Faixa de Servidão'!$C$9*'FE-FxServ-Exploração'!G14)</f>
        <v>0</v>
      </c>
      <c r="H14" s="141">
        <f>IF('FE-FxServ-Exploração'!H14=0,0,'FE-Faixa de Servidão'!$C$10*'FE-FxServ-Exploração'!H14)</f>
        <v>0</v>
      </c>
      <c r="I14" s="141">
        <f>IF('FE-FxServ-Exploração'!I14=0,0,'FE-Faixa de Servidão'!$C$11*'FE-FxServ-Exploração'!I14)</f>
        <v>0</v>
      </c>
      <c r="J14" s="141">
        <f>IF('FE-FxServ-Exploração'!J14=0,0,'FE-Faixa de Servidão'!$C$12*'FE-FxServ-Exploração'!J14)</f>
        <v>0</v>
      </c>
      <c r="K14" s="141">
        <f t="shared" si="0"/>
        <v>0</v>
      </c>
      <c r="L14" s="141">
        <f>IF(K14=0,0,K14+'FE-Faixa de Servidão'!$E$8)</f>
        <v>0</v>
      </c>
      <c r="M14" s="141"/>
      <c r="N14" s="141">
        <f t="shared" si="1"/>
        <v>0</v>
      </c>
      <c r="O14" s="146">
        <f>SUM(N14:N21)</f>
        <v>483.42485639542707</v>
      </c>
    </row>
    <row r="15" spans="1:15" ht="57.6" customHeight="1" x14ac:dyDescent="0.25">
      <c r="A15" s="572"/>
      <c r="B15" s="574" t="s">
        <v>281</v>
      </c>
      <c r="C15" s="574" t="s">
        <v>282</v>
      </c>
      <c r="D15" s="557"/>
      <c r="E15" s="141">
        <f>IF('FE-FxServ-Exploração'!E15=0,0,'FE-Faixa de Servidão'!$C$8*'FE-FxServ-Exploração'!E15)</f>
        <v>0</v>
      </c>
      <c r="F15" s="141">
        <f>IF('FE-FxServ-Exploração'!F15=0,0,'FE-Faixa de Servidão'!$C$8*'FE-FxServ-Exploração'!F15)</f>
        <v>0</v>
      </c>
      <c r="G15" s="141">
        <f>IF('FE-FxServ-Exploração'!G15=0,0,'FE-Faixa de Servidão'!$C$9*'FE-FxServ-Exploração'!G15)</f>
        <v>0</v>
      </c>
      <c r="H15" s="141">
        <f>IF('FE-FxServ-Exploração'!H15=0,0,'FE-Faixa de Servidão'!$C$10*'FE-FxServ-Exploração'!H15)</f>
        <v>0</v>
      </c>
      <c r="I15" s="141">
        <f>IF('FE-FxServ-Exploração'!I15=0,0,'FE-Faixa de Servidão'!$C$11*'FE-FxServ-Exploração'!I15)</f>
        <v>0</v>
      </c>
      <c r="J15" s="141">
        <f>IF('FE-FxServ-Exploração'!J15=0,0,'FE-Faixa de Servidão'!$C$12*'FE-FxServ-Exploração'!J15)</f>
        <v>0</v>
      </c>
      <c r="K15" s="141">
        <f t="shared" si="0"/>
        <v>0</v>
      </c>
      <c r="L15" s="141">
        <f>IF(K15=0,0,K15+'FE-Faixa de Servidão'!$E$8)</f>
        <v>0</v>
      </c>
      <c r="M15" s="141"/>
      <c r="N15" s="141">
        <f t="shared" si="1"/>
        <v>0</v>
      </c>
      <c r="O15" s="143"/>
    </row>
    <row r="16" spans="1:15" ht="57.6" customHeight="1" x14ac:dyDescent="0.25">
      <c r="A16" s="572"/>
      <c r="B16" s="572"/>
      <c r="C16" s="574" t="s">
        <v>283</v>
      </c>
      <c r="D16" s="557"/>
      <c r="E16" s="141">
        <f>IF('FE-FxServ-Exploração'!E16=0,0,'FE-Faixa de Servidão'!$C$8*'FE-FxServ-Exploração'!E16)</f>
        <v>0</v>
      </c>
      <c r="F16" s="141">
        <f>IF('FE-FxServ-Exploração'!F16=0,0,'FE-Faixa de Servidão'!$C$8*'FE-FxServ-Exploração'!F16)</f>
        <v>0</v>
      </c>
      <c r="G16" s="141">
        <f>IF('FE-FxServ-Exploração'!G16=0,0,'FE-Faixa de Servidão'!$C$9*'FE-FxServ-Exploração'!G16)</f>
        <v>0</v>
      </c>
      <c r="H16" s="141">
        <f>IF('FE-FxServ-Exploração'!H16=0,0,'FE-Faixa de Servidão'!$C$10*'FE-FxServ-Exploração'!H16)</f>
        <v>0</v>
      </c>
      <c r="I16" s="141">
        <f>IF('FE-FxServ-Exploração'!I16=0,0,'FE-Faixa de Servidão'!$C$11*'FE-FxServ-Exploração'!I16)</f>
        <v>0</v>
      </c>
      <c r="J16" s="141">
        <f>IF('FE-FxServ-Exploração'!J16=0,0,'FE-Faixa de Servidão'!$C$12*'FE-FxServ-Exploração'!J16)</f>
        <v>0</v>
      </c>
      <c r="K16" s="141">
        <f t="shared" si="0"/>
        <v>0</v>
      </c>
      <c r="L16" s="141">
        <f>IF(K16=0,0,K16+'FE-Faixa de Servidão'!$E$8)</f>
        <v>0</v>
      </c>
      <c r="M16" s="141"/>
      <c r="N16" s="141">
        <f t="shared" si="1"/>
        <v>0</v>
      </c>
      <c r="O16" s="143"/>
    </row>
    <row r="17" spans="1:15" ht="57.6" customHeight="1" x14ac:dyDescent="0.25">
      <c r="A17" s="572"/>
      <c r="B17" s="573"/>
      <c r="C17" s="574" t="s">
        <v>284</v>
      </c>
      <c r="D17" s="557"/>
      <c r="E17" s="141">
        <f>IF('FE-FxServ-Exploração'!E17=0,0,'FE-Faixa de Servidão'!$C$8*'FE-FxServ-Exploração'!E17)</f>
        <v>0</v>
      </c>
      <c r="F17" s="141">
        <f>IF('FE-FxServ-Exploração'!F17=0,0,'FE-Faixa de Servidão'!$C$8*'FE-FxServ-Exploração'!F17)</f>
        <v>0</v>
      </c>
      <c r="G17" s="141">
        <f>IF('FE-FxServ-Exploração'!G17=0,0,'FE-Faixa de Servidão'!$C$9*'FE-FxServ-Exploração'!G17)</f>
        <v>0</v>
      </c>
      <c r="H17" s="141">
        <f>IF('FE-FxServ-Exploração'!H17=0,0,'FE-Faixa de Servidão'!$C$10*'FE-FxServ-Exploração'!H17)</f>
        <v>0</v>
      </c>
      <c r="I17" s="141">
        <f>IF('FE-FxServ-Exploração'!I17=0,0,'FE-Faixa de Servidão'!$C$11*'FE-FxServ-Exploração'!I17)</f>
        <v>0</v>
      </c>
      <c r="J17" s="141">
        <f>IF('FE-FxServ-Exploração'!J17=0,0,'FE-Faixa de Servidão'!$C$12*'FE-FxServ-Exploração'!J17)</f>
        <v>0</v>
      </c>
      <c r="K17" s="141">
        <f t="shared" si="0"/>
        <v>0</v>
      </c>
      <c r="L17" s="141">
        <f>IF(K17=0,0,K17+'FE-Faixa de Servidão'!$E$8)</f>
        <v>0</v>
      </c>
      <c r="M17" s="141"/>
      <c r="N17" s="141">
        <f t="shared" si="1"/>
        <v>0</v>
      </c>
      <c r="O17" s="143"/>
    </row>
    <row r="18" spans="1:15" ht="57.6" customHeight="1" x14ac:dyDescent="0.25">
      <c r="A18" s="572"/>
      <c r="B18" s="574" t="s">
        <v>285</v>
      </c>
      <c r="C18" s="574" t="s">
        <v>286</v>
      </c>
      <c r="D18" s="557"/>
      <c r="E18" s="141">
        <f>IF('FE-FxServ-Exploração'!E18=0,0,'FE-Faixa de Servidão'!$C$8*'FE-FxServ-Exploração'!E18)</f>
        <v>0</v>
      </c>
      <c r="F18" s="141">
        <f>IF('FE-FxServ-Exploração'!F18=0,0,'FE-Faixa de Servidão'!$C$8*'FE-FxServ-Exploração'!F18)</f>
        <v>0</v>
      </c>
      <c r="G18" s="141">
        <f>IF('FE-FxServ-Exploração'!G18=0,0,'FE-Faixa de Servidão'!$C$9*'FE-FxServ-Exploração'!G18)</f>
        <v>0</v>
      </c>
      <c r="H18" s="141">
        <f>IF('FE-FxServ-Exploração'!H18=0,0,'FE-Faixa de Servidão'!$C$10*'FE-FxServ-Exploração'!H18)</f>
        <v>0</v>
      </c>
      <c r="I18" s="141">
        <f>IF('FE-FxServ-Exploração'!I18=0,0,'FE-Faixa de Servidão'!$C$11*'FE-FxServ-Exploração'!I18)</f>
        <v>0</v>
      </c>
      <c r="J18" s="141">
        <f>IF('FE-FxServ-Exploração'!J18=0,0,'FE-Faixa de Servidão'!$C$12*'FE-FxServ-Exploração'!J18)</f>
        <v>0</v>
      </c>
      <c r="K18" s="141">
        <f t="shared" si="0"/>
        <v>0</v>
      </c>
      <c r="L18" s="141">
        <f>IF(K18=0,0,K18+'FE-Faixa de Servidão'!$E$8)</f>
        <v>0</v>
      </c>
      <c r="M18" s="141"/>
      <c r="N18" s="141">
        <f t="shared" si="1"/>
        <v>0</v>
      </c>
      <c r="O18" s="143"/>
    </row>
    <row r="19" spans="1:15" ht="57.6" customHeight="1" x14ac:dyDescent="0.25">
      <c r="A19" s="572"/>
      <c r="B19" s="572"/>
      <c r="C19" s="574" t="s">
        <v>287</v>
      </c>
      <c r="D19" s="557"/>
      <c r="E19" s="141">
        <f>IF('FE-FxServ-Exploração'!E19=0,0,'FE-Faixa de Servidão'!$C$8*'FE-FxServ-Exploração'!E19)</f>
        <v>0</v>
      </c>
      <c r="F19" s="141">
        <f>IF('FE-FxServ-Exploração'!F19=0,0,'FE-Faixa de Servidão'!$C$8*'FE-FxServ-Exploração'!F19)</f>
        <v>0</v>
      </c>
      <c r="G19" s="141">
        <f>IF('FE-FxServ-Exploração'!G19=0,0,'FE-Faixa de Servidão'!$C$9*'FE-FxServ-Exploração'!G19)</f>
        <v>0</v>
      </c>
      <c r="H19" s="141">
        <f>IF('FE-FxServ-Exploração'!H19=0,0,'FE-Faixa de Servidão'!$C$10*'FE-FxServ-Exploração'!H19)</f>
        <v>0</v>
      </c>
      <c r="I19" s="141">
        <f>IF('FE-FxServ-Exploração'!I19=0,0,'FE-Faixa de Servidão'!$C$11*'FE-FxServ-Exploração'!I19)</f>
        <v>0</v>
      </c>
      <c r="J19" s="141">
        <f>IF('FE-FxServ-Exploração'!J19=0,0,'FE-Faixa de Servidão'!$C$12*'FE-FxServ-Exploração'!J19)</f>
        <v>0</v>
      </c>
      <c r="K19" s="141">
        <f t="shared" si="0"/>
        <v>0</v>
      </c>
      <c r="L19" s="141">
        <f>IF(K19=0,0,K19+'FE-Faixa de Servidão'!$E$8)</f>
        <v>0</v>
      </c>
      <c r="M19" s="141"/>
      <c r="N19" s="141">
        <f t="shared" si="1"/>
        <v>0</v>
      </c>
      <c r="O19" s="143"/>
    </row>
    <row r="20" spans="1:15" ht="57.6" customHeight="1" x14ac:dyDescent="0.25">
      <c r="A20" s="572"/>
      <c r="B20" s="573"/>
      <c r="C20" s="574" t="s">
        <v>55</v>
      </c>
      <c r="D20" s="557"/>
      <c r="E20" s="141">
        <f>IF('FE-FxServ-Exploração'!E20=0,0,'FE-Faixa de Servidão'!$C$8*'FE-FxServ-Exploração'!E20)</f>
        <v>0</v>
      </c>
      <c r="F20" s="141">
        <f>IF('FE-FxServ-Exploração'!F20=0,0,'FE-Faixa de Servidão'!$C$8*'FE-FxServ-Exploração'!F20)</f>
        <v>0</v>
      </c>
      <c r="G20" s="141">
        <f>IF('FE-FxServ-Exploração'!G20=0,0,'FE-Faixa de Servidão'!$C$9*'FE-FxServ-Exploração'!G20)</f>
        <v>12.281422425526275</v>
      </c>
      <c r="H20" s="141">
        <f>IF('FE-FxServ-Exploração'!H20=0,0,'FE-Faixa de Servidão'!$C$10*'FE-FxServ-Exploração'!H20)</f>
        <v>0</v>
      </c>
      <c r="I20" s="141">
        <f>IF('FE-FxServ-Exploração'!I20=0,0,'FE-Faixa de Servidão'!$C$11*'FE-FxServ-Exploração'!I20)</f>
        <v>0</v>
      </c>
      <c r="J20" s="141">
        <f>IF('FE-FxServ-Exploração'!J20=0,0,'FE-Faixa de Servidão'!$C$12*'FE-FxServ-Exploração'!J20)</f>
        <v>0</v>
      </c>
      <c r="K20" s="141">
        <f t="shared" si="0"/>
        <v>12.281422425526275</v>
      </c>
      <c r="L20" s="141">
        <f>IF(K20=0,0,K20+'FE-Faixa de Servidão'!$E$8)</f>
        <v>92.693575356608989</v>
      </c>
      <c r="M20" s="141">
        <f>'Inserção de dados_Linhas'!$D$13</f>
        <v>5.2153005700298429</v>
      </c>
      <c r="N20" s="141">
        <f t="shared" si="1"/>
        <v>483.42485639542707</v>
      </c>
      <c r="O20" s="143"/>
    </row>
    <row r="21" spans="1:15" ht="57.6" customHeight="1" x14ac:dyDescent="0.25">
      <c r="A21" s="573"/>
      <c r="B21" s="574" t="s">
        <v>288</v>
      </c>
      <c r="C21" s="559"/>
      <c r="D21" s="557"/>
      <c r="E21" s="141">
        <f>IF('FE-FxServ-Exploração'!E21=0,0,'FE-Faixa de Servidão'!$C$8*'FE-FxServ-Exploração'!E21)</f>
        <v>0</v>
      </c>
      <c r="F21" s="141">
        <f>IF('FE-FxServ-Exploração'!F21=0,0,'FE-Faixa de Servidão'!$C$8*'FE-FxServ-Exploração'!F21)</f>
        <v>0</v>
      </c>
      <c r="G21" s="141">
        <f>IF('FE-FxServ-Exploração'!G21=0,0,'FE-Faixa de Servidão'!$C$9*'FE-FxServ-Exploração'!G21)</f>
        <v>0</v>
      </c>
      <c r="H21" s="141">
        <f>IF('FE-FxServ-Exploração'!H21=0,0,'FE-Faixa de Servidão'!$C$10*'FE-FxServ-Exploração'!H21)</f>
        <v>0</v>
      </c>
      <c r="I21" s="141">
        <f>IF('FE-FxServ-Exploração'!I21=0,0,'FE-Faixa de Servidão'!$C$11*'FE-FxServ-Exploração'!I21)</f>
        <v>0</v>
      </c>
      <c r="J21" s="141">
        <f>IF('FE-FxServ-Exploração'!J21=0,0,'FE-Faixa de Servidão'!$C$12*'FE-FxServ-Exploração'!J21)</f>
        <v>0</v>
      </c>
      <c r="K21" s="141">
        <f t="shared" si="0"/>
        <v>0</v>
      </c>
      <c r="L21" s="141">
        <f>IF(K21=0,0,K21+'FE-Faixa de Servidão'!$E$8)</f>
        <v>0</v>
      </c>
      <c r="M21" s="141"/>
      <c r="N21" s="141">
        <f t="shared" si="1"/>
        <v>0</v>
      </c>
      <c r="O21" s="143"/>
    </row>
    <row r="22" spans="1:15" ht="57.6" customHeight="1" x14ac:dyDescent="0.25">
      <c r="A22" s="571" t="s">
        <v>289</v>
      </c>
      <c r="B22" s="571" t="s">
        <v>290</v>
      </c>
      <c r="C22" s="571" t="s">
        <v>291</v>
      </c>
      <c r="D22" s="557"/>
      <c r="E22" s="141">
        <f>IF('FE-FxServ-Exploração'!E22=0,0,'FE-Faixa de Servidão'!$C$8*'FE-FxServ-Exploração'!E22)</f>
        <v>0</v>
      </c>
      <c r="F22" s="141">
        <f>IF('FE-FxServ-Exploração'!F22=0,0,'FE-Faixa de Servidão'!$C$8*'FE-FxServ-Exploração'!F22)</f>
        <v>0</v>
      </c>
      <c r="G22" s="141">
        <f>IF('FE-FxServ-Exploração'!G22=0,0,'FE-Faixa de Servidão'!$C$9*'FE-FxServ-Exploração'!G22)</f>
        <v>0</v>
      </c>
      <c r="H22" s="141">
        <f>IF('FE-FxServ-Exploração'!H22=0,0,'FE-Faixa de Servidão'!$C$10*'FE-FxServ-Exploração'!H22)</f>
        <v>0</v>
      </c>
      <c r="I22" s="141">
        <f>IF('FE-FxServ-Exploração'!I22=0,0,'FE-Faixa de Servidão'!$C$11*'FE-FxServ-Exploração'!I22)</f>
        <v>0</v>
      </c>
      <c r="J22" s="141">
        <f>IF('FE-FxServ-Exploração'!J22=0,0,'FE-Faixa de Servidão'!$C$12*'FE-FxServ-Exploração'!J22)</f>
        <v>0</v>
      </c>
      <c r="K22" s="141">
        <f t="shared" si="0"/>
        <v>0</v>
      </c>
      <c r="L22" s="141">
        <f>IF(K22=0,0,K22+'FE-Faixa de Servidão'!$E$8)</f>
        <v>0</v>
      </c>
      <c r="M22" s="141"/>
      <c r="N22" s="141">
        <f t="shared" si="1"/>
        <v>0</v>
      </c>
      <c r="O22" s="146">
        <f>SUM(N22:N23)</f>
        <v>0</v>
      </c>
    </row>
    <row r="23" spans="1:15" ht="57.6" customHeight="1" x14ac:dyDescent="0.25">
      <c r="A23" s="573"/>
      <c r="B23" s="573"/>
      <c r="C23" s="571" t="s">
        <v>56</v>
      </c>
      <c r="D23" s="557"/>
      <c r="E23" s="141">
        <f>IF('FE-FxServ-Exploração'!E23=0,0,'FE-Faixa de Servidão'!$C$8*'FE-FxServ-Exploração'!E23)</f>
        <v>0</v>
      </c>
      <c r="F23" s="141">
        <f>IF('FE-FxServ-Exploração'!F23=0,0,'FE-Faixa de Servidão'!$C$8*'FE-FxServ-Exploração'!F23)</f>
        <v>0</v>
      </c>
      <c r="G23" s="141">
        <f>IF('FE-FxServ-Exploração'!G23=0,0,'FE-Faixa de Servidão'!$C$9*'FE-FxServ-Exploração'!G23)</f>
        <v>0</v>
      </c>
      <c r="H23" s="141">
        <f>IF('FE-FxServ-Exploração'!H23=0,0,'FE-Faixa de Servidão'!$C$10*'FE-FxServ-Exploração'!H23)</f>
        <v>66.700733763629756</v>
      </c>
      <c r="I23" s="141">
        <f>IF('FE-FxServ-Exploração'!I23=0,0,'FE-Faixa de Servidão'!$C$11*'FE-FxServ-Exploração'!I23)</f>
        <v>0</v>
      </c>
      <c r="J23" s="141">
        <f>IF('FE-FxServ-Exploração'!J23=0,0,'FE-Faixa de Servidão'!$C$12*'FE-FxServ-Exploração'!J23)</f>
        <v>0</v>
      </c>
      <c r="K23" s="141">
        <f t="shared" si="0"/>
        <v>66.700733763629756</v>
      </c>
      <c r="L23" s="141">
        <f>IF(K23=0,0,K23+'FE-Faixa de Servidão'!$E$8)</f>
        <v>147.11288669471247</v>
      </c>
      <c r="M23" s="141">
        <f>'Inserção de dados_Linhas'!$E$13</f>
        <v>0</v>
      </c>
      <c r="N23" s="141">
        <f t="shared" si="1"/>
        <v>0</v>
      </c>
      <c r="O23" s="143"/>
    </row>
    <row r="24" spans="1:15" ht="57.6" customHeight="1" x14ac:dyDescent="0.25">
      <c r="A24" s="571" t="s">
        <v>292</v>
      </c>
      <c r="B24" s="571" t="s">
        <v>293</v>
      </c>
      <c r="C24" s="571" t="s">
        <v>294</v>
      </c>
      <c r="D24" s="132" t="s">
        <v>57</v>
      </c>
      <c r="E24" s="141">
        <f>IF('FE-FxServ-Exploração'!E24=0,0,'FE-Faixa de Servidão'!$C$8*'FE-FxServ-Exploração'!E24)</f>
        <v>0</v>
      </c>
      <c r="F24" s="141">
        <f>IF('FE-FxServ-Exploração'!F24=0,0,'FE-Faixa de Servidão'!$C$8*'FE-FxServ-Exploração'!F24)</f>
        <v>0</v>
      </c>
      <c r="G24" s="141">
        <f>IF('FE-FxServ-Exploração'!G24=0,0,'FE-Faixa de Servidão'!$C$9*'FE-FxServ-Exploração'!G24)</f>
        <v>12.281422425526275</v>
      </c>
      <c r="H24" s="141">
        <f>IF('FE-FxServ-Exploração'!H24=0,0,'FE-Faixa de Servidão'!$C$10*'FE-FxServ-Exploração'!H24)</f>
        <v>106.72117402180761</v>
      </c>
      <c r="I24" s="141">
        <f>IF('FE-FxServ-Exploração'!I24=0,0,'FE-Faixa de Servidão'!$C$11*'FE-FxServ-Exploração'!I24)</f>
        <v>0</v>
      </c>
      <c r="J24" s="141">
        <f>IF('FE-FxServ-Exploração'!J24=0,0,'FE-Faixa de Servidão'!$C$12*'FE-FxServ-Exploração'!J24)</f>
        <v>0</v>
      </c>
      <c r="K24" s="141">
        <f t="shared" si="0"/>
        <v>119.00259644733389</v>
      </c>
      <c r="L24" s="141">
        <f>IF(K24=0,0,K24+'FE-Faixa de Servidão'!$E$8)</f>
        <v>199.41474937841662</v>
      </c>
      <c r="M24" s="141">
        <f>'Inserção de dados_Linhas'!$F14</f>
        <v>0</v>
      </c>
      <c r="N24" s="141">
        <f t="shared" si="1"/>
        <v>0</v>
      </c>
      <c r="O24" s="147">
        <f>SUM(N24:N28)</f>
        <v>0</v>
      </c>
    </row>
    <row r="25" spans="1:15" ht="57.6" customHeight="1" x14ac:dyDescent="0.25">
      <c r="A25" s="572"/>
      <c r="B25" s="572"/>
      <c r="C25" s="572"/>
      <c r="D25" s="132" t="s">
        <v>58</v>
      </c>
      <c r="E25" s="141">
        <f>IF('FE-FxServ-Exploração'!E25=0,0,'FE-Faixa de Servidão'!$C$8*'FE-FxServ-Exploração'!E25)</f>
        <v>0</v>
      </c>
      <c r="F25" s="141">
        <f>IF('FE-FxServ-Exploração'!F25=0,0,'FE-Faixa de Servidão'!$C$8*'FE-FxServ-Exploração'!F25)</f>
        <v>0</v>
      </c>
      <c r="G25" s="141">
        <f>IF('FE-FxServ-Exploração'!G25=0,0,'FE-Faixa de Servidão'!$C$9*'FE-FxServ-Exploração'!G25)</f>
        <v>12.281422425526275</v>
      </c>
      <c r="H25" s="141">
        <f>IF('FE-FxServ-Exploração'!H25=0,0,'FE-Faixa de Servidão'!$C$10*'FE-FxServ-Exploração'!H25)</f>
        <v>106.72117402180761</v>
      </c>
      <c r="I25" s="141">
        <f>IF('FE-FxServ-Exploração'!I25=0,0,'FE-Faixa de Servidão'!$C$11*'FE-FxServ-Exploração'!I25)</f>
        <v>0</v>
      </c>
      <c r="J25" s="141">
        <f>IF('FE-FxServ-Exploração'!J25=0,0,'FE-Faixa de Servidão'!$C$12*'FE-FxServ-Exploração'!J25)</f>
        <v>0</v>
      </c>
      <c r="K25" s="141">
        <f t="shared" si="0"/>
        <v>119.00259644733389</v>
      </c>
      <c r="L25" s="141">
        <f>IF(K25=0,0,K25+'FE-Faixa de Servidão'!$E$8)</f>
        <v>199.41474937841662</v>
      </c>
      <c r="M25" s="141">
        <f>'Inserção de dados_Linhas'!$G$13</f>
        <v>0</v>
      </c>
      <c r="N25" s="141">
        <f t="shared" si="1"/>
        <v>0</v>
      </c>
      <c r="O25" s="144"/>
    </row>
    <row r="26" spans="1:15" ht="57.6" customHeight="1" x14ac:dyDescent="0.25">
      <c r="A26" s="572"/>
      <c r="B26" s="572"/>
      <c r="C26" s="572"/>
      <c r="D26" s="132" t="s">
        <v>59</v>
      </c>
      <c r="E26" s="141">
        <f>IF('FE-FxServ-Exploração'!E26=0,0,'FE-Faixa de Servidão'!$C$8*'FE-FxServ-Exploração'!E26)</f>
        <v>0</v>
      </c>
      <c r="F26" s="141">
        <f>IF('FE-FxServ-Exploração'!F26=0,0,'FE-Faixa de Servidão'!$C$8*'FE-FxServ-Exploração'!F26)</f>
        <v>0</v>
      </c>
      <c r="G26" s="141">
        <f>IF('FE-FxServ-Exploração'!G26=0,0,'FE-Faixa de Servidão'!$C$9*'FE-FxServ-Exploração'!G26)</f>
        <v>12.281422425526275</v>
      </c>
      <c r="H26" s="141">
        <f>IF('FE-FxServ-Exploração'!H26=0,0,'FE-Faixa de Servidão'!$C$10*'FE-FxServ-Exploração'!H26)</f>
        <v>106.72117402180761</v>
      </c>
      <c r="I26" s="141">
        <f>IF('FE-FxServ-Exploração'!I26=0,0,'FE-Faixa de Servidão'!$C$11*'FE-FxServ-Exploração'!I26)</f>
        <v>0</v>
      </c>
      <c r="J26" s="141">
        <f>IF('FE-FxServ-Exploração'!J26=0,0,'FE-Faixa de Servidão'!$C$12*'FE-FxServ-Exploração'!J26)</f>
        <v>0</v>
      </c>
      <c r="K26" s="141">
        <f t="shared" si="0"/>
        <v>119.00259644733389</v>
      </c>
      <c r="L26" s="141">
        <f>IF(K26=0,0,K26+'FE-Faixa de Servidão'!$E$8)</f>
        <v>199.41474937841662</v>
      </c>
      <c r="M26" s="141">
        <f>'Inserção de dados_Linhas'!$H$13</f>
        <v>0</v>
      </c>
      <c r="N26" s="141">
        <f t="shared" si="1"/>
        <v>0</v>
      </c>
      <c r="O26" s="144"/>
    </row>
    <row r="27" spans="1:15" ht="57.6" customHeight="1" x14ac:dyDescent="0.25">
      <c r="A27" s="572"/>
      <c r="B27" s="572"/>
      <c r="C27" s="572"/>
      <c r="D27" s="132" t="s">
        <v>60</v>
      </c>
      <c r="E27" s="141">
        <f>IF('FE-FxServ-Exploração'!E27=0,0,'FE-Faixa de Servidão'!$C$8*'FE-FxServ-Exploração'!E27)</f>
        <v>0</v>
      </c>
      <c r="F27" s="141">
        <f>IF('FE-FxServ-Exploração'!F27=0,0,'FE-Faixa de Servidão'!$C$8*'FE-FxServ-Exploração'!F27)</f>
        <v>0</v>
      </c>
      <c r="G27" s="141">
        <f>IF('FE-FxServ-Exploração'!G27=0,0,'FE-Faixa de Servidão'!$C$9*'FE-FxServ-Exploração'!G27)</f>
        <v>12.281422425526275</v>
      </c>
      <c r="H27" s="141">
        <f>IF('FE-FxServ-Exploração'!H27=0,0,'FE-Faixa de Servidão'!$C$10*'FE-FxServ-Exploração'!H27)</f>
        <v>106.72117402180761</v>
      </c>
      <c r="I27" s="141">
        <f>IF('FE-FxServ-Exploração'!I27=0,0,'FE-Faixa de Servidão'!$C$11*'FE-FxServ-Exploração'!I27)</f>
        <v>0</v>
      </c>
      <c r="J27" s="141">
        <f>IF('FE-FxServ-Exploração'!J27=0,0,'FE-Faixa de Servidão'!$C$12*'FE-FxServ-Exploração'!J27)</f>
        <v>0</v>
      </c>
      <c r="K27" s="141">
        <f t="shared" si="0"/>
        <v>119.00259644733389</v>
      </c>
      <c r="L27" s="141">
        <f>IF(K27=0,0,K27+'FE-Faixa de Servidão'!$E$8)</f>
        <v>199.41474937841662</v>
      </c>
      <c r="M27" s="141">
        <f>'Inserção de dados_Linhas'!I$13</f>
        <v>0</v>
      </c>
      <c r="N27" s="141">
        <f t="shared" si="1"/>
        <v>0</v>
      </c>
      <c r="O27" s="144"/>
    </row>
    <row r="28" spans="1:15" ht="57.6" customHeight="1" x14ac:dyDescent="0.25">
      <c r="A28" s="573"/>
      <c r="B28" s="573"/>
      <c r="C28" s="573"/>
      <c r="D28" s="132" t="s">
        <v>61</v>
      </c>
      <c r="E28" s="141">
        <f>IF('FE-FxServ-Exploração'!E28=0,0,'FE-Faixa de Servidão'!$C$8*'FE-FxServ-Exploração'!E28)</f>
        <v>0</v>
      </c>
      <c r="F28" s="141">
        <f>IF('FE-FxServ-Exploração'!F28=0,0,'FE-Faixa de Servidão'!$C$8*'FE-FxServ-Exploração'!F28)</f>
        <v>0</v>
      </c>
      <c r="G28" s="141">
        <f>IF('FE-FxServ-Exploração'!G28=0,0,'FE-Faixa de Servidão'!$C$9*'FE-FxServ-Exploração'!G28)</f>
        <v>12.281422425526275</v>
      </c>
      <c r="H28" s="141">
        <f>IF('FE-FxServ-Exploração'!H28=0,0,'FE-Faixa de Servidão'!$C$10*'FE-FxServ-Exploração'!H28)</f>
        <v>106.72117402180761</v>
      </c>
      <c r="I28" s="141">
        <f>IF('FE-FxServ-Exploração'!I28=0,0,'FE-Faixa de Servidão'!$C$11*'FE-FxServ-Exploração'!I28)</f>
        <v>0</v>
      </c>
      <c r="J28" s="141">
        <f>IF('FE-FxServ-Exploração'!J28=0,0,'FE-Faixa de Servidão'!$C$12*'FE-FxServ-Exploração'!J28)</f>
        <v>0</v>
      </c>
      <c r="K28" s="141">
        <f t="shared" si="0"/>
        <v>119.00259644733389</v>
      </c>
      <c r="L28" s="141">
        <f>IF(K28=0,0,K28+'FE-Faixa de Servidão'!$E$8)</f>
        <v>199.41474937841662</v>
      </c>
      <c r="M28" s="141">
        <f>'Inserção de dados_Linhas'!J$13</f>
        <v>0</v>
      </c>
      <c r="N28" s="141">
        <f t="shared" si="1"/>
        <v>0</v>
      </c>
      <c r="O28" s="145"/>
    </row>
    <row r="29" spans="1:15" ht="57.6" customHeight="1" x14ac:dyDescent="0.25">
      <c r="A29" s="571" t="s">
        <v>295</v>
      </c>
      <c r="B29" s="571" t="s">
        <v>296</v>
      </c>
      <c r="C29" s="571" t="s">
        <v>297</v>
      </c>
      <c r="D29" s="132" t="s">
        <v>62</v>
      </c>
      <c r="E29" s="141">
        <f>IF('FE-FxServ-Exploração'!E29=0,0,'FE-Faixa de Servidão'!$C$8*'FE-FxServ-Exploração'!E29)</f>
        <v>0</v>
      </c>
      <c r="F29" s="141">
        <f>IF('FE-FxServ-Exploração'!F29=0,0,'FE-Faixa de Servidão'!$C$8*'FE-FxServ-Exploração'!F29)</f>
        <v>0</v>
      </c>
      <c r="G29" s="141">
        <f>IF('FE-FxServ-Exploração'!G29=0,0,'FE-Faixa de Servidão'!$C$9*'FE-FxServ-Exploração'!G29)</f>
        <v>12.281422425526275</v>
      </c>
      <c r="H29" s="141">
        <f>IF('FE-FxServ-Exploração'!H29=0,0,'FE-Faixa de Servidão'!$C$10*'FE-FxServ-Exploração'!H29)</f>
        <v>106.72117402180761</v>
      </c>
      <c r="I29" s="141">
        <f>IF('FE-FxServ-Exploração'!I29=0,0,'FE-Faixa de Servidão'!$C$11*'FE-FxServ-Exploração'!I29)</f>
        <v>0</v>
      </c>
      <c r="J29" s="141">
        <f>IF('FE-FxServ-Exploração'!J29=0,0,'FE-Faixa de Servidão'!$C$12*'FE-FxServ-Exploração'!J29)</f>
        <v>0</v>
      </c>
      <c r="K29" s="141">
        <f t="shared" si="0"/>
        <v>119.00259644733389</v>
      </c>
      <c r="L29" s="141">
        <f>IF(K29=0,0,K29+'FE-Faixa de Servidão'!$E$8)</f>
        <v>199.41474937841662</v>
      </c>
      <c r="M29" s="141">
        <f>'Inserção de dados_Linhas'!K$13</f>
        <v>9.8867444520808192</v>
      </c>
      <c r="N29" s="141">
        <f t="shared" si="1"/>
        <v>1971.5626670801475</v>
      </c>
      <c r="O29" s="146">
        <f>SUM(N29:N38)</f>
        <v>114480.25843561188</v>
      </c>
    </row>
    <row r="30" spans="1:15" ht="57.6" customHeight="1" x14ac:dyDescent="0.25">
      <c r="A30" s="572"/>
      <c r="B30" s="572"/>
      <c r="C30" s="572"/>
      <c r="D30" s="132" t="s">
        <v>63</v>
      </c>
      <c r="E30" s="141">
        <f>IF('FE-FxServ-Exploração'!E30=0,0,'FE-Faixa de Servidão'!$C$8*'FE-FxServ-Exploração'!E30)</f>
        <v>0</v>
      </c>
      <c r="F30" s="141">
        <f>IF('FE-FxServ-Exploração'!F30=0,0,'FE-Faixa de Servidão'!$C$8*'FE-FxServ-Exploração'!F30)</f>
        <v>0</v>
      </c>
      <c r="G30" s="141">
        <f>IF('FE-FxServ-Exploração'!G30=0,0,'FE-Faixa de Servidão'!$C$9*'FE-FxServ-Exploração'!G30)</f>
        <v>12.281422425526275</v>
      </c>
      <c r="H30" s="141">
        <f>IF('FE-FxServ-Exploração'!H30=0,0,'FE-Faixa de Servidão'!$C$10*'FE-FxServ-Exploração'!H30)</f>
        <v>106.72117402180761</v>
      </c>
      <c r="I30" s="141">
        <f>IF('FE-FxServ-Exploração'!I30=0,0,'FE-Faixa de Servidão'!$C$11*'FE-FxServ-Exploração'!I30)</f>
        <v>0</v>
      </c>
      <c r="J30" s="141">
        <f>IF('FE-FxServ-Exploração'!J30=0,0,'FE-Faixa de Servidão'!$C$12*'FE-FxServ-Exploração'!J30)</f>
        <v>0</v>
      </c>
      <c r="K30" s="141">
        <f t="shared" si="0"/>
        <v>119.00259644733389</v>
      </c>
      <c r="L30" s="141">
        <f>IF(K30=0,0,K30+'FE-Faixa de Servidão'!$E$8)</f>
        <v>199.41474937841662</v>
      </c>
      <c r="M30" s="141">
        <f>'Inserção de dados_Linhas'!L$13</f>
        <v>0</v>
      </c>
      <c r="N30" s="141">
        <f t="shared" si="1"/>
        <v>0</v>
      </c>
      <c r="O30" s="143"/>
    </row>
    <row r="31" spans="1:15" ht="57.6" customHeight="1" x14ac:dyDescent="0.25">
      <c r="A31" s="572"/>
      <c r="B31" s="572"/>
      <c r="C31" s="572"/>
      <c r="D31" s="132" t="s">
        <v>64</v>
      </c>
      <c r="E31" s="141">
        <f>IF('FE-FxServ-Exploração'!E31=0,0,'FE-Faixa de Servidão'!$C$8*'FE-FxServ-Exploração'!E31)</f>
        <v>0</v>
      </c>
      <c r="F31" s="141">
        <f>IF('FE-FxServ-Exploração'!F31=0,0,'FE-Faixa de Servidão'!$C$8*'FE-FxServ-Exploração'!F31)</f>
        <v>0</v>
      </c>
      <c r="G31" s="141">
        <f>IF('FE-FxServ-Exploração'!G31=0,0,'FE-Faixa de Servidão'!$C$9*'FE-FxServ-Exploração'!G31)</f>
        <v>12.281422425526275</v>
      </c>
      <c r="H31" s="141">
        <f>IF('FE-FxServ-Exploração'!H31=0,0,'FE-Faixa de Servidão'!$C$10*'FE-FxServ-Exploração'!H31)</f>
        <v>106.72117402180761</v>
      </c>
      <c r="I31" s="141">
        <f>IF('FE-FxServ-Exploração'!I31=0,0,'FE-Faixa de Servidão'!$C$11*'FE-FxServ-Exploração'!I31)</f>
        <v>0</v>
      </c>
      <c r="J31" s="141">
        <f>IF('FE-FxServ-Exploração'!J31=0,0,'FE-Faixa de Servidão'!$C$12*'FE-FxServ-Exploração'!J31)</f>
        <v>0</v>
      </c>
      <c r="K31" s="141">
        <f t="shared" si="0"/>
        <v>119.00259644733389</v>
      </c>
      <c r="L31" s="141">
        <f>IF(K31=0,0,K31+'FE-Faixa de Servidão'!$E$8)</f>
        <v>199.41474937841662</v>
      </c>
      <c r="M31" s="141">
        <f>'Inserção de dados_Linhas'!M$13</f>
        <v>0.14314824677748594</v>
      </c>
      <c r="N31" s="141">
        <f t="shared" si="1"/>
        <v>28.545871755092094</v>
      </c>
      <c r="O31" s="143"/>
    </row>
    <row r="32" spans="1:15" ht="57.6" customHeight="1" x14ac:dyDescent="0.25">
      <c r="A32" s="572"/>
      <c r="B32" s="572"/>
      <c r="C32" s="572"/>
      <c r="D32" s="132" t="s">
        <v>65</v>
      </c>
      <c r="E32" s="141">
        <f>IF('FE-FxServ-Exploração'!E32=0,0,'FE-Faixa de Servidão'!$C$8*'FE-FxServ-Exploração'!E32)</f>
        <v>0</v>
      </c>
      <c r="F32" s="141">
        <f>IF('FE-FxServ-Exploração'!F32=0,0,'FE-Faixa de Servidão'!$C$8*'FE-FxServ-Exploração'!F32)</f>
        <v>0</v>
      </c>
      <c r="G32" s="141">
        <f>IF('FE-FxServ-Exploração'!G32=0,0,'FE-Faixa de Servidão'!$C$9*'FE-FxServ-Exploração'!G32)</f>
        <v>12.281422425526275</v>
      </c>
      <c r="H32" s="141">
        <f>IF('FE-FxServ-Exploração'!H32=0,0,'FE-Faixa de Servidão'!$C$10*'FE-FxServ-Exploração'!H32)</f>
        <v>106.72117402180761</v>
      </c>
      <c r="I32" s="141">
        <f>IF('FE-FxServ-Exploração'!I32=0,0,'FE-Faixa de Servidão'!$C$11*'FE-FxServ-Exploração'!I32)</f>
        <v>0</v>
      </c>
      <c r="J32" s="141">
        <f>IF('FE-FxServ-Exploração'!J32=0,0,'FE-Faixa de Servidão'!$C$12*'FE-FxServ-Exploração'!J32)</f>
        <v>0</v>
      </c>
      <c r="K32" s="141">
        <f t="shared" si="0"/>
        <v>119.00259644733389</v>
      </c>
      <c r="L32" s="141">
        <f>IF(K32=0,0,K32+'FE-Faixa de Servidão'!$E$8)</f>
        <v>199.41474937841662</v>
      </c>
      <c r="M32" s="141">
        <f>'Inserção de dados_Linhas'!N$13</f>
        <v>0.9728759949365261</v>
      </c>
      <c r="N32" s="141">
        <f t="shared" si="1"/>
        <v>194.00582270654508</v>
      </c>
      <c r="O32" s="143"/>
    </row>
    <row r="33" spans="1:15" ht="57.6" customHeight="1" x14ac:dyDescent="0.25">
      <c r="A33" s="572"/>
      <c r="B33" s="572"/>
      <c r="C33" s="572"/>
      <c r="D33" s="132" t="s">
        <v>66</v>
      </c>
      <c r="E33" s="141">
        <f>IF('FE-FxServ-Exploração'!E33=0,0,'FE-Faixa de Servidão'!$C$8*'FE-FxServ-Exploração'!E33)</f>
        <v>0</v>
      </c>
      <c r="F33" s="141">
        <f>IF('FE-FxServ-Exploração'!F33=0,0,'FE-Faixa de Servidão'!$C$8*'FE-FxServ-Exploração'!F33)</f>
        <v>0</v>
      </c>
      <c r="G33" s="141">
        <f>IF('FE-FxServ-Exploração'!G33=0,0,'FE-Faixa de Servidão'!$C$9*'FE-FxServ-Exploração'!G33)</f>
        <v>12.281422425526275</v>
      </c>
      <c r="H33" s="141">
        <f>IF('FE-FxServ-Exploração'!H33=0,0,'FE-Faixa de Servidão'!$C$10*'FE-FxServ-Exploração'!H33)</f>
        <v>106.72117402180761</v>
      </c>
      <c r="I33" s="141">
        <f>IF('FE-FxServ-Exploração'!I33=0,0,'FE-Faixa de Servidão'!$C$11*'FE-FxServ-Exploração'!I33)</f>
        <v>0</v>
      </c>
      <c r="J33" s="141">
        <f>IF('FE-FxServ-Exploração'!J33=0,0,'FE-Faixa de Servidão'!$C$12*'FE-FxServ-Exploração'!J33)</f>
        <v>0</v>
      </c>
      <c r="K33" s="141">
        <f t="shared" si="0"/>
        <v>119.00259644733389</v>
      </c>
      <c r="L33" s="141">
        <f>IF(K33=0,0,K33+'FE-Faixa de Servidão'!$E$8)</f>
        <v>199.41474937841662</v>
      </c>
      <c r="M33" s="141">
        <f>'Inserção de dados_Linhas'!O$13</f>
        <v>379.15027458980245</v>
      </c>
      <c r="N33" s="141">
        <f t="shared" si="1"/>
        <v>75608.156984083296</v>
      </c>
      <c r="O33" s="143"/>
    </row>
    <row r="34" spans="1:15" ht="57.6" customHeight="1" x14ac:dyDescent="0.25">
      <c r="A34" s="572"/>
      <c r="B34" s="572"/>
      <c r="C34" s="572"/>
      <c r="D34" s="132" t="s">
        <v>67</v>
      </c>
      <c r="E34" s="141">
        <f>IF('FE-FxServ-Exploração'!E34=0,0,'FE-Faixa de Servidão'!$C$8*'FE-FxServ-Exploração'!E34)</f>
        <v>0</v>
      </c>
      <c r="F34" s="141">
        <f>IF('FE-FxServ-Exploração'!F34=0,0,'FE-Faixa de Servidão'!$C$8*'FE-FxServ-Exploração'!F34)</f>
        <v>0</v>
      </c>
      <c r="G34" s="141">
        <f>IF('FE-FxServ-Exploração'!G34=0,0,'FE-Faixa de Servidão'!$C$9*'FE-FxServ-Exploração'!G34)</f>
        <v>12.281422425526275</v>
      </c>
      <c r="H34" s="141">
        <f>IF('FE-FxServ-Exploração'!H34=0,0,'FE-Faixa de Servidão'!$C$10*'FE-FxServ-Exploração'!H34)</f>
        <v>106.72117402180761</v>
      </c>
      <c r="I34" s="141">
        <f>IF('FE-FxServ-Exploração'!I34=0,0,'FE-Faixa de Servidão'!$C$11*'FE-FxServ-Exploração'!I34)</f>
        <v>0</v>
      </c>
      <c r="J34" s="141">
        <f>IF('FE-FxServ-Exploração'!J34=0,0,'FE-Faixa de Servidão'!$C$12*'FE-FxServ-Exploração'!J34)</f>
        <v>0</v>
      </c>
      <c r="K34" s="141">
        <f t="shared" si="0"/>
        <v>119.00259644733389</v>
      </c>
      <c r="L34" s="141">
        <f>IF(K34=0,0,K34+'FE-Faixa de Servidão'!$E$8)</f>
        <v>199.41474937841662</v>
      </c>
      <c r="M34" s="141">
        <f>'Inserção de dados_Linhas'!P$13</f>
        <v>1.8583519620830571</v>
      </c>
      <c r="N34" s="141">
        <f t="shared" si="1"/>
        <v>370.58279077568159</v>
      </c>
      <c r="O34" s="143"/>
    </row>
    <row r="35" spans="1:15" ht="57.6" customHeight="1" x14ac:dyDescent="0.25">
      <c r="A35" s="572"/>
      <c r="B35" s="572"/>
      <c r="C35" s="573"/>
      <c r="D35" s="132" t="s">
        <v>68</v>
      </c>
      <c r="E35" s="141">
        <f>IF('FE-FxServ-Exploração'!E35=0,0,'FE-Faixa de Servidão'!$C$8*'FE-FxServ-Exploração'!E35)</f>
        <v>0</v>
      </c>
      <c r="F35" s="141">
        <f>IF('FE-FxServ-Exploração'!F35=0,0,'FE-Faixa de Servidão'!$C$8*'FE-FxServ-Exploração'!F35)</f>
        <v>0</v>
      </c>
      <c r="G35" s="141">
        <f>IF('FE-FxServ-Exploração'!G35=0,0,'FE-Faixa de Servidão'!$C$9*'FE-FxServ-Exploração'!G35)</f>
        <v>12.281422425526275</v>
      </c>
      <c r="H35" s="141">
        <f>IF('FE-FxServ-Exploração'!H35=0,0,'FE-Faixa de Servidão'!$C$10*'FE-FxServ-Exploração'!H35)</f>
        <v>106.72117402180761</v>
      </c>
      <c r="I35" s="141">
        <f>IF('FE-FxServ-Exploração'!I35=0,0,'FE-Faixa de Servidão'!$C$11*'FE-FxServ-Exploração'!I35)</f>
        <v>0</v>
      </c>
      <c r="J35" s="141">
        <f>IF('FE-FxServ-Exploração'!J35=0,0,'FE-Faixa de Servidão'!$C$12*'FE-FxServ-Exploração'!J35)</f>
        <v>0</v>
      </c>
      <c r="K35" s="141">
        <f t="shared" si="0"/>
        <v>119.00259644733389</v>
      </c>
      <c r="L35" s="141">
        <f>IF(K35=0,0,K35+'FE-Faixa de Servidão'!$E$8)</f>
        <v>199.41474937841662</v>
      </c>
      <c r="M35" s="141">
        <f>'Inserção de dados_Linhas'!Q$13</f>
        <v>29.237942494689435</v>
      </c>
      <c r="N35" s="141">
        <f t="shared" si="1"/>
        <v>5830.4769749190509</v>
      </c>
      <c r="O35" s="143"/>
    </row>
    <row r="36" spans="1:15" ht="57.6" customHeight="1" x14ac:dyDescent="0.25">
      <c r="A36" s="572"/>
      <c r="B36" s="572"/>
      <c r="C36" s="571" t="s">
        <v>298</v>
      </c>
      <c r="D36" s="132" t="s">
        <v>69</v>
      </c>
      <c r="E36" s="141">
        <f>IF('FE-FxServ-Exploração'!E36=0,0,'FE-Faixa de Servidão'!$C$8*'FE-FxServ-Exploração'!E36)</f>
        <v>0</v>
      </c>
      <c r="F36" s="141">
        <f>IF('FE-FxServ-Exploração'!F36=0,0,'FE-Faixa de Servidão'!$C$8*'FE-FxServ-Exploração'!F36)</f>
        <v>0</v>
      </c>
      <c r="G36" s="141">
        <f>IF('FE-FxServ-Exploração'!G36=0,0,'FE-Faixa de Servidão'!$C$9*'FE-FxServ-Exploração'!G36)</f>
        <v>12.281422425526275</v>
      </c>
      <c r="H36" s="141">
        <f>IF('FE-FxServ-Exploração'!H36=0,0,'FE-Faixa de Servidão'!$C$10*'FE-FxServ-Exploração'!H36)</f>
        <v>106.72117402180761</v>
      </c>
      <c r="I36" s="141">
        <f>IF('FE-FxServ-Exploração'!I36=0,0,'FE-Faixa de Servidão'!$C$11*'FE-FxServ-Exploração'!I36)</f>
        <v>0</v>
      </c>
      <c r="J36" s="141">
        <f>IF('FE-FxServ-Exploração'!J36=0,0,'FE-Faixa de Servidão'!$C$12*'FE-FxServ-Exploração'!J36)</f>
        <v>0</v>
      </c>
      <c r="K36" s="141">
        <f t="shared" si="0"/>
        <v>119.00259644733389</v>
      </c>
      <c r="L36" s="141">
        <f>IF(K36=0,0,K36+'FE-Faixa de Servidão'!$E$8)</f>
        <v>199.41474937841662</v>
      </c>
      <c r="M36" s="141">
        <f>'Inserção de dados_Linhas'!R$13</f>
        <v>152.83186133066798</v>
      </c>
      <c r="N36" s="141">
        <f t="shared" si="1"/>
        <v>30476.927324292075</v>
      </c>
      <c r="O36" s="143"/>
    </row>
    <row r="37" spans="1:15" ht="57.6" customHeight="1" x14ac:dyDescent="0.25">
      <c r="A37" s="572"/>
      <c r="B37" s="572"/>
      <c r="C37" s="572"/>
      <c r="D37" s="132" t="s">
        <v>70</v>
      </c>
      <c r="E37" s="141">
        <f>IF('FE-FxServ-Exploração'!E37=0,0,'FE-Faixa de Servidão'!$C$8*'FE-FxServ-Exploração'!E37)</f>
        <v>0</v>
      </c>
      <c r="F37" s="141">
        <f>IF('FE-FxServ-Exploração'!F37=0,0,'FE-Faixa de Servidão'!$C$8*'FE-FxServ-Exploração'!F37)</f>
        <v>0</v>
      </c>
      <c r="G37" s="141">
        <f>IF('FE-FxServ-Exploração'!G37=0,0,'FE-Faixa de Servidão'!$C$9*'FE-FxServ-Exploração'!G37)</f>
        <v>12.281422425526275</v>
      </c>
      <c r="H37" s="141">
        <f>IF('FE-FxServ-Exploração'!H37=0,0,'FE-Faixa de Servidão'!$C$10*'FE-FxServ-Exploração'!H37)</f>
        <v>106.72117402180761</v>
      </c>
      <c r="I37" s="141">
        <f>IF('FE-FxServ-Exploração'!I37=0,0,'FE-Faixa de Servidão'!$C$11*'FE-FxServ-Exploração'!I37)</f>
        <v>0</v>
      </c>
      <c r="J37" s="141">
        <f>IF('FE-FxServ-Exploração'!J37=0,0,'FE-Faixa de Servidão'!$C$12*'FE-FxServ-Exploração'!J37)</f>
        <v>0</v>
      </c>
      <c r="K37" s="141">
        <f t="shared" si="0"/>
        <v>119.00259644733389</v>
      </c>
      <c r="L37" s="141">
        <f>IF(K37=0,0,K37+'FE-Faixa de Servidão'!$E$8)</f>
        <v>199.41474937841662</v>
      </c>
      <c r="M37" s="141">
        <f>'Inserção de dados_Linhas'!S$13</f>
        <v>0</v>
      </c>
      <c r="N37" s="141">
        <f t="shared" si="1"/>
        <v>0</v>
      </c>
      <c r="O37" s="143"/>
    </row>
    <row r="38" spans="1:15" ht="57.6" customHeight="1" x14ac:dyDescent="0.25">
      <c r="A38" s="573"/>
      <c r="B38" s="573"/>
      <c r="C38" s="573"/>
      <c r="D38" s="132" t="s">
        <v>71</v>
      </c>
      <c r="E38" s="141">
        <f>IF('FE-FxServ-Exploração'!E38=0,0,'FE-Faixa de Servidão'!$C$8*'FE-FxServ-Exploração'!E38)</f>
        <v>0</v>
      </c>
      <c r="F38" s="141">
        <f>IF('FE-FxServ-Exploração'!F38=0,0,'FE-Faixa de Servidão'!$C$8*'FE-FxServ-Exploração'!F38)</f>
        <v>0</v>
      </c>
      <c r="G38" s="141">
        <f>IF('FE-FxServ-Exploração'!G38=0,0,'FE-Faixa de Servidão'!$C$9*'FE-FxServ-Exploração'!G38)</f>
        <v>12.281422425526275</v>
      </c>
      <c r="H38" s="141">
        <f>IF('FE-FxServ-Exploração'!H38=0,0,'FE-Faixa de Servidão'!$C$10*'FE-FxServ-Exploração'!H38)</f>
        <v>106.72117402180761</v>
      </c>
      <c r="I38" s="141">
        <f>IF('FE-FxServ-Exploração'!I38=0,0,'FE-Faixa de Servidão'!$C$11*'FE-FxServ-Exploração'!I38)</f>
        <v>0</v>
      </c>
      <c r="J38" s="141">
        <f>IF('FE-FxServ-Exploração'!J38=0,0,'FE-Faixa de Servidão'!$C$12*'FE-FxServ-Exploração'!J38)</f>
        <v>0</v>
      </c>
      <c r="K38" s="141">
        <f t="shared" si="0"/>
        <v>119.00259644733389</v>
      </c>
      <c r="L38" s="141">
        <f>IF(K38=0,0,K38+'FE-Faixa de Servidão'!$E$8)</f>
        <v>199.41474937841662</v>
      </c>
      <c r="M38" s="141">
        <f>'Inserção de dados_Linhas'!T$13</f>
        <v>0</v>
      </c>
      <c r="N38" s="141">
        <f t="shared" si="1"/>
        <v>0</v>
      </c>
      <c r="O38" s="143"/>
    </row>
    <row r="39" spans="1:15" ht="57.6" customHeight="1" x14ac:dyDescent="0.25">
      <c r="A39" s="571" t="s">
        <v>72</v>
      </c>
      <c r="B39" s="559"/>
      <c r="C39" s="559"/>
      <c r="D39" s="557"/>
      <c r="E39" s="141">
        <f>IF('FE-FxServ-Exploração'!E39=0,0,'FE-Faixa de Servidão'!$C$8*'FE-FxServ-Exploração'!E39)</f>
        <v>0</v>
      </c>
      <c r="F39" s="141">
        <f>IF('FE-FxServ-Exploração'!F39=0,0,'FE-Faixa de Servidão'!$C$8*'FE-FxServ-Exploração'!F39)</f>
        <v>0</v>
      </c>
      <c r="G39" s="141">
        <f>IF('FE-FxServ-Exploração'!G39=0,0,'FE-Faixa de Servidão'!$C$9*'FE-FxServ-Exploração'!G39)</f>
        <v>0</v>
      </c>
      <c r="H39" s="141">
        <f>IF('FE-FxServ-Exploração'!H39=0,0,'FE-Faixa de Servidão'!$C$10*'FE-FxServ-Exploração'!H39)</f>
        <v>133.40146752725951</v>
      </c>
      <c r="I39" s="141">
        <f>IF('FE-FxServ-Exploração'!I39=0,0,'FE-Faixa de Servidão'!$C$11*'FE-FxServ-Exploração'!I39)</f>
        <v>0</v>
      </c>
      <c r="J39" s="141">
        <f>IF('FE-FxServ-Exploração'!J39=0,0,'FE-Faixa de Servidão'!$C$12*'FE-FxServ-Exploração'!J39)</f>
        <v>0</v>
      </c>
      <c r="K39" s="141">
        <f t="shared" si="0"/>
        <v>133.40146752725951</v>
      </c>
      <c r="L39" s="141">
        <f>IF(K39=0,0,K39+'FE-Faixa de Servidão'!$E$8)</f>
        <v>213.81362045834223</v>
      </c>
      <c r="M39" s="141">
        <f>'Inserção de dados_Linhas'!$U$13</f>
        <v>83.742400745545254</v>
      </c>
      <c r="N39" s="141">
        <f t="shared" si="1"/>
        <v>17905.265889278409</v>
      </c>
      <c r="O39" s="146">
        <f>N39</f>
        <v>17905.265889278409</v>
      </c>
    </row>
    <row r="40" spans="1:15" ht="57.6" customHeight="1" x14ac:dyDescent="0.25">
      <c r="A40" s="575" t="s">
        <v>299</v>
      </c>
      <c r="B40" s="575" t="s">
        <v>300</v>
      </c>
      <c r="C40" s="575" t="s">
        <v>73</v>
      </c>
      <c r="D40" s="557"/>
      <c r="E40" s="141">
        <f>IF('FE-FxServ-Exploração'!E40=0,0,'FE-Faixa de Servidão'!$C$8*'FE-FxServ-Exploração'!E40)</f>
        <v>0</v>
      </c>
      <c r="F40" s="141">
        <f>IF('FE-FxServ-Exploração'!F40=0,0,'FE-Faixa de Servidão'!$C$8*'FE-FxServ-Exploração'!F40)</f>
        <v>0</v>
      </c>
      <c r="G40" s="141">
        <f>IF('FE-FxServ-Exploração'!G40=0,0,'FE-Faixa de Servidão'!$C$9*'FE-FxServ-Exploração'!G40)</f>
        <v>0</v>
      </c>
      <c r="H40" s="141">
        <f>IF('FE-FxServ-Exploração'!H40=0,0,'FE-Faixa de Servidão'!$C$10*'FE-FxServ-Exploração'!H40)</f>
        <v>66.700733763629756</v>
      </c>
      <c r="I40" s="141">
        <f>IF('FE-FxServ-Exploração'!I40=0,0,'FE-Faixa de Servidão'!$C$11*'FE-FxServ-Exploração'!I40)</f>
        <v>0</v>
      </c>
      <c r="J40" s="141">
        <f>IF('FE-FxServ-Exploração'!J40=0,0,'FE-Faixa de Servidão'!$C$12*'FE-FxServ-Exploração'!J40)</f>
        <v>0</v>
      </c>
      <c r="K40" s="141">
        <f t="shared" si="0"/>
        <v>66.700733763629756</v>
      </c>
      <c r="L40" s="141">
        <f>IF(K40=0,0,K40+'FE-Faixa de Servidão'!$E$8)</f>
        <v>147.11288669471247</v>
      </c>
      <c r="M40" s="141">
        <f>'Inserção de dados_Linhas'!$V$13</f>
        <v>0</v>
      </c>
      <c r="N40" s="141">
        <f t="shared" si="1"/>
        <v>0</v>
      </c>
      <c r="O40" s="146">
        <f>SUM(N40:N42)</f>
        <v>0</v>
      </c>
    </row>
    <row r="41" spans="1:15" ht="57.6" customHeight="1" x14ac:dyDescent="0.25">
      <c r="A41" s="572"/>
      <c r="B41" s="572"/>
      <c r="C41" s="575" t="s">
        <v>74</v>
      </c>
      <c r="D41" s="557"/>
      <c r="E41" s="141">
        <f>IF('FE-FxServ-Exploração'!E41=0,0,'FE-Faixa de Servidão'!$C$8*'FE-FxServ-Exploração'!E41)</f>
        <v>0</v>
      </c>
      <c r="F41" s="141">
        <f>IF('FE-FxServ-Exploração'!F41=0,0,'FE-Faixa de Servidão'!$C$8*'FE-FxServ-Exploração'!F41)</f>
        <v>0</v>
      </c>
      <c r="G41" s="141">
        <f>IF('FE-FxServ-Exploração'!G41=0,0,'FE-Faixa de Servidão'!$C$9*'FE-FxServ-Exploração'!G41)</f>
        <v>0</v>
      </c>
      <c r="H41" s="141">
        <f>IF('FE-FxServ-Exploração'!H41=0,0,'FE-Faixa de Servidão'!$C$10*'FE-FxServ-Exploração'!H41)</f>
        <v>66.700733763629756</v>
      </c>
      <c r="I41" s="141">
        <f>IF('FE-FxServ-Exploração'!I41=0,0,'FE-Faixa de Servidão'!$C$11*'FE-FxServ-Exploração'!I41)</f>
        <v>0</v>
      </c>
      <c r="J41" s="141">
        <f>IF('FE-FxServ-Exploração'!J41=0,0,'FE-Faixa de Servidão'!$C$12*'FE-FxServ-Exploração'!J41)</f>
        <v>0</v>
      </c>
      <c r="K41" s="141">
        <f t="shared" si="0"/>
        <v>66.700733763629756</v>
      </c>
      <c r="L41" s="141">
        <f>IF(K41=0,0,K41+'FE-Faixa de Servidão'!$E$8)</f>
        <v>147.11288669471247</v>
      </c>
      <c r="M41" s="141">
        <f>'Inserção de dados_Linhas'!$W$13</f>
        <v>0</v>
      </c>
      <c r="N41" s="141">
        <f t="shared" si="1"/>
        <v>0</v>
      </c>
      <c r="O41" s="143"/>
    </row>
    <row r="42" spans="1:15" ht="57.6" customHeight="1" x14ac:dyDescent="0.25">
      <c r="A42" s="573"/>
      <c r="B42" s="573"/>
      <c r="C42" s="575" t="s">
        <v>75</v>
      </c>
      <c r="D42" s="557"/>
      <c r="E42" s="141">
        <f>IF('FE-FxServ-Exploração'!E42=0,0,'FE-Faixa de Servidão'!$C$8*'FE-FxServ-Exploração'!E42)</f>
        <v>0</v>
      </c>
      <c r="F42" s="141">
        <f>IF('FE-FxServ-Exploração'!F42=0,0,'FE-Faixa de Servidão'!$C$8*'FE-FxServ-Exploração'!F42)</f>
        <v>0</v>
      </c>
      <c r="G42" s="141">
        <f>IF('FE-FxServ-Exploração'!G42=0,0,'FE-Faixa de Servidão'!$C$9*'FE-FxServ-Exploração'!G42)</f>
        <v>0</v>
      </c>
      <c r="H42" s="141">
        <f>IF('FE-FxServ-Exploração'!H42=0,0,'FE-Faixa de Servidão'!$C$10*'FE-FxServ-Exploração'!H42)</f>
        <v>66.700733763629756</v>
      </c>
      <c r="I42" s="141">
        <f>IF('FE-FxServ-Exploração'!I42=0,0,'FE-Faixa de Servidão'!$C$11*'FE-FxServ-Exploração'!I42)</f>
        <v>0</v>
      </c>
      <c r="J42" s="141">
        <f>IF('FE-FxServ-Exploração'!J42=0,0,'FE-Faixa de Servidão'!$C$12*'FE-FxServ-Exploração'!J42)</f>
        <v>0</v>
      </c>
      <c r="K42" s="141">
        <f t="shared" si="0"/>
        <v>66.700733763629756</v>
      </c>
      <c r="L42" s="141">
        <f>IF(K42=0,0,K42+'FE-Faixa de Servidão'!$E$8)</f>
        <v>147.11288669471247</v>
      </c>
      <c r="M42" s="141">
        <f>'Inserção de dados_Linhas'!$X$13</f>
        <v>0</v>
      </c>
      <c r="N42" s="141">
        <f t="shared" si="1"/>
        <v>0</v>
      </c>
      <c r="O42" s="143"/>
    </row>
    <row r="43" spans="1:15" ht="57.6" customHeight="1" x14ac:dyDescent="0.25">
      <c r="A43" s="575" t="s">
        <v>301</v>
      </c>
      <c r="B43" s="559"/>
      <c r="C43" s="559"/>
      <c r="D43" s="557"/>
      <c r="E43" s="141">
        <f>IF('FE-FxServ-Exploração'!E43=0,0,'FE-Faixa de Servidão'!$C$8*'FE-FxServ-Exploração'!E43)</f>
        <v>0</v>
      </c>
      <c r="F43" s="141">
        <f>IF('FE-FxServ-Exploração'!F43=0,0,'FE-Faixa de Servidão'!$C$8*'FE-FxServ-Exploração'!F43)</f>
        <v>0</v>
      </c>
      <c r="G43" s="141">
        <f>IF('FE-FxServ-Exploração'!G43=0,0,'FE-Faixa de Servidão'!$C$9*'FE-FxServ-Exploração'!G43)</f>
        <v>0</v>
      </c>
      <c r="H43" s="141">
        <f>IF('FE-FxServ-Exploração'!H43=0,0,'FE-Faixa de Servidão'!$C$10*'FE-FxServ-Exploração'!H43)</f>
        <v>0</v>
      </c>
      <c r="I43" s="141">
        <f>IF('FE-FxServ-Exploração'!I43=0,0,'FE-Faixa de Servidão'!$C$11*'FE-FxServ-Exploração'!I43)</f>
        <v>0</v>
      </c>
      <c r="J43" s="141">
        <f>IF('FE-FxServ-Exploração'!J43=0,0,'FE-Faixa de Servidão'!$C$12*'FE-FxServ-Exploração'!J43)</f>
        <v>0</v>
      </c>
      <c r="K43" s="141">
        <f t="shared" si="0"/>
        <v>0</v>
      </c>
      <c r="L43" s="141">
        <f>IF(K43=0,0,K43+'FE-Faixa de Servidão'!$E$8)</f>
        <v>0</v>
      </c>
      <c r="M43" s="141"/>
      <c r="N43" s="141">
        <f t="shared" si="1"/>
        <v>0</v>
      </c>
      <c r="O43" s="146">
        <f>N43</f>
        <v>0</v>
      </c>
    </row>
    <row r="44" spans="1:15" ht="57.6" customHeight="1" x14ac:dyDescent="0.25">
      <c r="A44" s="575" t="s">
        <v>302</v>
      </c>
      <c r="B44" s="559"/>
      <c r="C44" s="559"/>
      <c r="D44" s="557"/>
      <c r="E44" s="141">
        <f>IF('FE-FxServ-Exploração'!E44=0,0,'FE-Faixa de Servidão'!$C$8*'FE-FxServ-Exploração'!E44)</f>
        <v>0</v>
      </c>
      <c r="F44" s="141">
        <f>IF('FE-FxServ-Exploração'!F44=0,0,'FE-Faixa de Servidão'!$C$8*'FE-FxServ-Exploração'!F44)</f>
        <v>0</v>
      </c>
      <c r="G44" s="141">
        <f>IF('FE-FxServ-Exploração'!G44=0,0,'FE-Faixa de Servidão'!$C$9*'FE-FxServ-Exploração'!G44)</f>
        <v>0</v>
      </c>
      <c r="H44" s="141">
        <f>IF('FE-FxServ-Exploração'!H44=0,0,'FE-Faixa de Servidão'!$C$10*'FE-FxServ-Exploração'!H44)</f>
        <v>0</v>
      </c>
      <c r="I44" s="141">
        <f>IF('FE-FxServ-Exploração'!I44=0,0,'FE-Faixa de Servidão'!$C$11*'FE-FxServ-Exploração'!I44)</f>
        <v>0</v>
      </c>
      <c r="J44" s="141">
        <f>IF('FE-FxServ-Exploração'!J44=0,0,'FE-Faixa de Servidão'!$C$12*'FE-FxServ-Exploração'!J44)</f>
        <v>0</v>
      </c>
      <c r="K44" s="141">
        <f t="shared" si="0"/>
        <v>0</v>
      </c>
      <c r="L44" s="141">
        <f>IF(K44=0,0,K44+'FE-Faixa de Servidão'!$E$8)</f>
        <v>0</v>
      </c>
      <c r="M44" s="141"/>
      <c r="N44" s="141">
        <f t="shared" si="1"/>
        <v>0</v>
      </c>
      <c r="O44" s="146">
        <f>N44</f>
        <v>0</v>
      </c>
    </row>
    <row r="45" spans="1:15" x14ac:dyDescent="0.25">
      <c r="O45" s="142"/>
    </row>
    <row r="46" spans="1:15" x14ac:dyDescent="0.25">
      <c r="O46" s="198"/>
    </row>
    <row r="47" spans="1:15" ht="27.95" customHeight="1" x14ac:dyDescent="0.25">
      <c r="A47" s="133"/>
      <c r="O47" s="198"/>
    </row>
    <row r="48" spans="1:15" ht="35.1" customHeight="1" x14ac:dyDescent="0.25">
      <c r="A48" s="133"/>
      <c r="O48" s="198"/>
    </row>
    <row r="49" spans="1:15" ht="14.45" customHeight="1" x14ac:dyDescent="0.25">
      <c r="A49" s="133"/>
      <c r="O49" s="198"/>
    </row>
  </sheetData>
  <sheetProtection algorithmName="SHA-512" hashValue="tYoz4us4R8OHpzmLR+Oa94QG4nWDtufGCWoDAMFv1yn3TQwj7ApKEM5x3AP6aSAeCNdnuVSyOxHjDrMfRvcBqA==" saltValue="wWFh5OHZpAnvaOyvJjfhUQ==" spinCount="100000" sheet="1" objects="1" scenarios="1"/>
  <mergeCells count="44">
    <mergeCell ref="A14:A21"/>
    <mergeCell ref="C24:C28"/>
    <mergeCell ref="E3:J3"/>
    <mergeCell ref="C23:D23"/>
    <mergeCell ref="C17:D17"/>
    <mergeCell ref="B18:B20"/>
    <mergeCell ref="B22:B23"/>
    <mergeCell ref="C19:D19"/>
    <mergeCell ref="B21:D21"/>
    <mergeCell ref="C18:D18"/>
    <mergeCell ref="B5:D5"/>
    <mergeCell ref="B7:D7"/>
    <mergeCell ref="A43:D43"/>
    <mergeCell ref="A44:D44"/>
    <mergeCell ref="A1:N1"/>
    <mergeCell ref="C20:D20"/>
    <mergeCell ref="A5:A13"/>
    <mergeCell ref="C10:D10"/>
    <mergeCell ref="C16:D16"/>
    <mergeCell ref="B24:B28"/>
    <mergeCell ref="C41:D41"/>
    <mergeCell ref="A39:D39"/>
    <mergeCell ref="C22:D22"/>
    <mergeCell ref="C40:D40"/>
    <mergeCell ref="C9:D9"/>
    <mergeCell ref="B6:D6"/>
    <mergeCell ref="A40:A42"/>
    <mergeCell ref="B9:B10"/>
    <mergeCell ref="A29:A38"/>
    <mergeCell ref="C15:D15"/>
    <mergeCell ref="B40:B42"/>
    <mergeCell ref="B8:D8"/>
    <mergeCell ref="C42:D42"/>
    <mergeCell ref="B11:B12"/>
    <mergeCell ref="B13:D13"/>
    <mergeCell ref="C14:D14"/>
    <mergeCell ref="B15:B17"/>
    <mergeCell ref="C12:D12"/>
    <mergeCell ref="B29:B38"/>
    <mergeCell ref="C29:C35"/>
    <mergeCell ref="C36:C38"/>
    <mergeCell ref="A22:A23"/>
    <mergeCell ref="C11:D11"/>
    <mergeCell ref="A24:A28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olha12">
    <tabColor rgb="FF7030A0"/>
  </sheetPr>
  <dimension ref="A1:P55"/>
  <sheetViews>
    <sheetView topLeftCell="A7" workbookViewId="0">
      <selection activeCell="I10" sqref="I10"/>
    </sheetView>
  </sheetViews>
  <sheetFormatPr defaultColWidth="8.7109375" defaultRowHeight="12.75" x14ac:dyDescent="0.25"/>
  <cols>
    <col min="1" max="4" width="15.140625" style="125" customWidth="1"/>
    <col min="5" max="6" width="15.140625" style="125" hidden="1" customWidth="1"/>
    <col min="7" max="12" width="15.140625" style="125" customWidth="1"/>
    <col min="13" max="13" width="8.7109375" style="125" customWidth="1"/>
    <col min="14" max="16384" width="8.7109375" style="125"/>
  </cols>
  <sheetData>
    <row r="1" spans="1:16" s="209" customFormat="1" ht="27.75" customHeight="1" x14ac:dyDescent="0.25">
      <c r="A1" s="534" t="s">
        <v>13</v>
      </c>
      <c r="B1" s="576"/>
      <c r="C1" s="576"/>
      <c r="D1" s="576"/>
      <c r="E1" s="576"/>
      <c r="F1" s="576"/>
      <c r="G1" s="576"/>
      <c r="H1" s="576"/>
      <c r="I1" s="576"/>
      <c r="J1" s="576"/>
      <c r="K1" s="576"/>
      <c r="L1" s="576"/>
      <c r="M1" s="576"/>
      <c r="N1" s="576"/>
      <c r="O1" s="576"/>
      <c r="P1" s="576"/>
    </row>
    <row r="2" spans="1:16" s="211" customFormat="1" ht="27.75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</row>
    <row r="3" spans="1:16" ht="61.5" customHeight="1" x14ac:dyDescent="0.25">
      <c r="G3" s="585" t="s">
        <v>259</v>
      </c>
      <c r="H3" s="559"/>
      <c r="I3" s="559"/>
      <c r="J3" s="559"/>
      <c r="K3" s="559"/>
      <c r="L3" s="557"/>
    </row>
    <row r="4" spans="1:16" ht="61.5" customHeight="1" x14ac:dyDescent="0.25">
      <c r="D4" s="126"/>
      <c r="E4" s="219" t="s">
        <v>309</v>
      </c>
      <c r="F4" s="219" t="s">
        <v>309</v>
      </c>
      <c r="G4" s="127" t="s">
        <v>260</v>
      </c>
      <c r="H4" s="128" t="s">
        <v>261</v>
      </c>
      <c r="I4" s="128" t="s">
        <v>262</v>
      </c>
      <c r="J4" s="128" t="s">
        <v>263</v>
      </c>
      <c r="K4" s="128" t="s">
        <v>264</v>
      </c>
      <c r="L4" s="128" t="s">
        <v>265</v>
      </c>
    </row>
    <row r="5" spans="1:16" ht="55.5" customHeight="1" x14ac:dyDescent="0.25">
      <c r="A5" s="574" t="s">
        <v>266</v>
      </c>
      <c r="B5" s="574" t="s">
        <v>267</v>
      </c>
      <c r="C5" s="559"/>
      <c r="D5" s="557"/>
      <c r="E5" s="218" t="str">
        <f>B5</f>
        <v>1.1 Tecido edificado</v>
      </c>
      <c r="F5" s="218">
        <f t="shared" ref="F5:F44" si="0">SUM(G5:I5)</f>
        <v>0</v>
      </c>
      <c r="G5" s="129">
        <v>0</v>
      </c>
      <c r="H5" s="130">
        <v>0</v>
      </c>
      <c r="I5" s="130">
        <v>0</v>
      </c>
      <c r="J5" s="130">
        <v>0</v>
      </c>
      <c r="K5" s="130">
        <v>0</v>
      </c>
      <c r="L5" s="130">
        <v>0</v>
      </c>
    </row>
    <row r="6" spans="1:16" ht="55.5" customHeight="1" x14ac:dyDescent="0.25">
      <c r="A6" s="572"/>
      <c r="B6" s="574" t="s">
        <v>268</v>
      </c>
      <c r="C6" s="559"/>
      <c r="D6" s="557"/>
      <c r="E6" s="218" t="str">
        <f>B6</f>
        <v>1.2. Indústria, comércio, e instalações agricola</v>
      </c>
      <c r="F6" s="218">
        <f t="shared" si="0"/>
        <v>0</v>
      </c>
      <c r="G6" s="129">
        <v>0</v>
      </c>
      <c r="H6" s="130">
        <v>0</v>
      </c>
      <c r="I6" s="130">
        <v>0</v>
      </c>
      <c r="J6" s="130">
        <v>0</v>
      </c>
      <c r="K6" s="130">
        <v>0</v>
      </c>
      <c r="L6" s="130">
        <v>0</v>
      </c>
    </row>
    <row r="7" spans="1:16" ht="55.5" customHeight="1" x14ac:dyDescent="0.25">
      <c r="A7" s="572"/>
      <c r="B7" s="574" t="s">
        <v>269</v>
      </c>
      <c r="C7" s="559"/>
      <c r="D7" s="557"/>
      <c r="E7" s="218" t="str">
        <f>B7</f>
        <v>1.3 Infraestruturas</v>
      </c>
      <c r="F7" s="218">
        <f t="shared" si="0"/>
        <v>0</v>
      </c>
      <c r="G7" s="129">
        <v>0</v>
      </c>
      <c r="H7" s="130">
        <v>0</v>
      </c>
      <c r="I7" s="130">
        <v>0</v>
      </c>
      <c r="J7" s="130">
        <v>0</v>
      </c>
      <c r="K7" s="130">
        <v>0</v>
      </c>
      <c r="L7" s="130">
        <v>0</v>
      </c>
    </row>
    <row r="8" spans="1:16" ht="55.5" customHeight="1" x14ac:dyDescent="0.25">
      <c r="A8" s="572"/>
      <c r="B8" s="574" t="s">
        <v>270</v>
      </c>
      <c r="C8" s="559"/>
      <c r="D8" s="557"/>
      <c r="E8" s="218" t="str">
        <f>B8</f>
        <v>1.4 Transportes</v>
      </c>
      <c r="F8" s="218">
        <f t="shared" si="0"/>
        <v>0</v>
      </c>
      <c r="G8" s="129">
        <v>0</v>
      </c>
      <c r="H8" s="130">
        <v>0</v>
      </c>
      <c r="I8" s="130">
        <v>0</v>
      </c>
      <c r="J8" s="130">
        <v>0</v>
      </c>
      <c r="K8" s="130">
        <v>0</v>
      </c>
      <c r="L8" s="130">
        <v>0</v>
      </c>
    </row>
    <row r="9" spans="1:16" ht="55.5" customHeight="1" x14ac:dyDescent="0.25">
      <c r="A9" s="572"/>
      <c r="B9" s="574" t="s">
        <v>271</v>
      </c>
      <c r="C9" s="574" t="s">
        <v>272</v>
      </c>
      <c r="D9" s="557"/>
      <c r="E9" s="218" t="str">
        <f>C9</f>
        <v>1.5.1 Áreas de extração de inertes</v>
      </c>
      <c r="F9" s="218">
        <f t="shared" si="0"/>
        <v>0</v>
      </c>
      <c r="G9" s="129">
        <v>0</v>
      </c>
      <c r="H9" s="130">
        <v>0</v>
      </c>
      <c r="I9" s="130">
        <v>0</v>
      </c>
      <c r="J9" s="130">
        <v>0</v>
      </c>
      <c r="K9" s="130">
        <v>0</v>
      </c>
      <c r="L9" s="130">
        <v>0</v>
      </c>
    </row>
    <row r="10" spans="1:16" ht="55.5" customHeight="1" x14ac:dyDescent="0.25">
      <c r="A10" s="572"/>
      <c r="B10" s="573"/>
      <c r="C10" s="574" t="s">
        <v>273</v>
      </c>
      <c r="D10" s="557"/>
      <c r="E10" s="218" t="str">
        <f>C10</f>
        <v>1.5.2 Áreas de deposição de resíduos</v>
      </c>
      <c r="F10" s="218">
        <f t="shared" si="0"/>
        <v>0</v>
      </c>
      <c r="G10" s="129">
        <v>0</v>
      </c>
      <c r="H10" s="130">
        <v>0</v>
      </c>
      <c r="I10" s="130">
        <v>0</v>
      </c>
      <c r="J10" s="130">
        <v>0</v>
      </c>
      <c r="K10" s="130">
        <v>0</v>
      </c>
      <c r="L10" s="130">
        <v>0</v>
      </c>
    </row>
    <row r="11" spans="1:16" ht="55.5" customHeight="1" x14ac:dyDescent="0.25">
      <c r="A11" s="572"/>
      <c r="B11" s="574" t="s">
        <v>274</v>
      </c>
      <c r="C11" s="574" t="s">
        <v>275</v>
      </c>
      <c r="D11" s="557"/>
      <c r="E11" s="218" t="str">
        <f>B11</f>
        <v>1.6 Equipamentos</v>
      </c>
      <c r="F11" s="218">
        <f t="shared" si="0"/>
        <v>0</v>
      </c>
      <c r="G11" s="129">
        <v>0</v>
      </c>
      <c r="H11" s="130">
        <v>0</v>
      </c>
      <c r="I11" s="130">
        <v>0</v>
      </c>
      <c r="J11" s="130">
        <v>0</v>
      </c>
      <c r="K11" s="130">
        <v>0</v>
      </c>
      <c r="L11" s="130">
        <v>0</v>
      </c>
    </row>
    <row r="12" spans="1:16" ht="55.5" customHeight="1" x14ac:dyDescent="0.25">
      <c r="A12" s="572"/>
      <c r="B12" s="573"/>
      <c r="C12" s="574" t="s">
        <v>276</v>
      </c>
      <c r="D12" s="557"/>
      <c r="E12" s="218" t="str">
        <f>C12</f>
        <v>1.6.2 Equipamentos de lazer e parques de campismo</v>
      </c>
      <c r="F12" s="218">
        <f t="shared" si="0"/>
        <v>0</v>
      </c>
      <c r="G12" s="129">
        <v>0</v>
      </c>
      <c r="H12" s="130">
        <v>0</v>
      </c>
      <c r="I12" s="130">
        <v>0</v>
      </c>
      <c r="J12" s="130">
        <v>0</v>
      </c>
      <c r="K12" s="130">
        <v>0</v>
      </c>
      <c r="L12" s="130">
        <v>0</v>
      </c>
    </row>
    <row r="13" spans="1:16" ht="55.5" customHeight="1" x14ac:dyDescent="0.25">
      <c r="A13" s="573"/>
      <c r="B13" s="574" t="s">
        <v>277</v>
      </c>
      <c r="C13" s="559"/>
      <c r="D13" s="557"/>
      <c r="E13" s="218" t="str">
        <f>B13</f>
        <v>1.7 Parques e jardins</v>
      </c>
      <c r="F13" s="218">
        <f t="shared" si="0"/>
        <v>0</v>
      </c>
      <c r="G13" s="129">
        <v>0</v>
      </c>
      <c r="H13" s="130">
        <v>0</v>
      </c>
      <c r="I13" s="130">
        <v>0</v>
      </c>
      <c r="J13" s="130">
        <v>0</v>
      </c>
      <c r="K13" s="130">
        <v>0</v>
      </c>
      <c r="L13" s="130">
        <v>0</v>
      </c>
    </row>
    <row r="14" spans="1:16" ht="55.5" customHeight="1" x14ac:dyDescent="0.25">
      <c r="A14" s="574" t="s">
        <v>278</v>
      </c>
      <c r="B14" s="131" t="s">
        <v>279</v>
      </c>
      <c r="C14" s="574" t="s">
        <v>280</v>
      </c>
      <c r="D14" s="557"/>
      <c r="E14" s="218" t="str">
        <f t="shared" ref="E14:E20" si="1">C14</f>
        <v>2.1.1 Culturas temporárias de sequeiro e regadio e arrozais</v>
      </c>
      <c r="F14" s="218">
        <f t="shared" si="0"/>
        <v>0</v>
      </c>
      <c r="G14" s="129">
        <v>0</v>
      </c>
      <c r="H14" s="130">
        <v>0</v>
      </c>
      <c r="I14" s="130">
        <v>0</v>
      </c>
      <c r="J14" s="130">
        <v>0</v>
      </c>
      <c r="K14" s="130">
        <v>0</v>
      </c>
      <c r="L14" s="130">
        <v>0</v>
      </c>
    </row>
    <row r="15" spans="1:16" ht="55.5" customHeight="1" x14ac:dyDescent="0.25">
      <c r="A15" s="572"/>
      <c r="B15" s="574" t="s">
        <v>281</v>
      </c>
      <c r="C15" s="574" t="s">
        <v>282</v>
      </c>
      <c r="D15" s="557"/>
      <c r="E15" s="218" t="str">
        <f t="shared" si="1"/>
        <v>2.2.1 Vinhas</v>
      </c>
      <c r="F15" s="218">
        <f t="shared" si="0"/>
        <v>0</v>
      </c>
      <c r="G15" s="129">
        <v>0</v>
      </c>
      <c r="H15" s="130">
        <v>0</v>
      </c>
      <c r="I15" s="130">
        <v>0</v>
      </c>
      <c r="J15" s="130">
        <v>0</v>
      </c>
      <c r="K15" s="130">
        <v>0</v>
      </c>
      <c r="L15" s="130">
        <v>0</v>
      </c>
    </row>
    <row r="16" spans="1:16" ht="55.5" customHeight="1" x14ac:dyDescent="0.25">
      <c r="A16" s="572"/>
      <c r="B16" s="572"/>
      <c r="C16" s="574" t="s">
        <v>283</v>
      </c>
      <c r="D16" s="557"/>
      <c r="E16" s="218" t="str">
        <f t="shared" si="1"/>
        <v>2.2.2 Pomares (inclui produção de castanha, frutos de casca rija, cereja, etc)</v>
      </c>
      <c r="F16" s="218">
        <f t="shared" si="0"/>
        <v>0</v>
      </c>
      <c r="G16" s="129">
        <v>0</v>
      </c>
      <c r="H16" s="130">
        <v>0</v>
      </c>
      <c r="I16" s="130">
        <v>0</v>
      </c>
      <c r="J16" s="130">
        <v>0</v>
      </c>
      <c r="K16" s="130">
        <v>0</v>
      </c>
      <c r="L16" s="130">
        <v>0</v>
      </c>
    </row>
    <row r="17" spans="1:12" ht="55.5" customHeight="1" x14ac:dyDescent="0.25">
      <c r="A17" s="572"/>
      <c r="B17" s="573"/>
      <c r="C17" s="574" t="s">
        <v>284</v>
      </c>
      <c r="D17" s="557"/>
      <c r="E17" s="218" t="str">
        <f t="shared" si="1"/>
        <v>2.2.3 Olivais</v>
      </c>
      <c r="F17" s="218">
        <f t="shared" si="0"/>
        <v>0</v>
      </c>
      <c r="G17" s="129">
        <v>0</v>
      </c>
      <c r="H17" s="130">
        <v>0</v>
      </c>
      <c r="I17" s="130">
        <v>0</v>
      </c>
      <c r="J17" s="130">
        <v>0</v>
      </c>
      <c r="K17" s="130">
        <v>0</v>
      </c>
      <c r="L17" s="130">
        <v>0</v>
      </c>
    </row>
    <row r="18" spans="1:12" ht="55.5" customHeight="1" x14ac:dyDescent="0.25">
      <c r="A18" s="572"/>
      <c r="B18" s="574" t="s">
        <v>285</v>
      </c>
      <c r="C18" s="574" t="s">
        <v>286</v>
      </c>
      <c r="D18" s="557"/>
      <c r="E18" s="218" t="str">
        <f t="shared" si="1"/>
        <v>2.3.1 Culturas temporárias e/ou pastagens melhoradas</v>
      </c>
      <c r="F18" s="218">
        <f t="shared" si="0"/>
        <v>0</v>
      </c>
      <c r="G18" s="129">
        <v>0</v>
      </c>
      <c r="H18" s="130">
        <v>0</v>
      </c>
      <c r="I18" s="130">
        <v>0</v>
      </c>
      <c r="J18" s="130">
        <v>0</v>
      </c>
      <c r="K18" s="130">
        <v>0</v>
      </c>
      <c r="L18" s="130">
        <v>0</v>
      </c>
    </row>
    <row r="19" spans="1:12" ht="55.5" customHeight="1" x14ac:dyDescent="0.25">
      <c r="A19" s="572"/>
      <c r="B19" s="572"/>
      <c r="C19" s="574" t="s">
        <v>287</v>
      </c>
      <c r="D19" s="557"/>
      <c r="E19" s="218" t="str">
        <f t="shared" si="1"/>
        <v>2.3.2 Mosaicos culturais e parcelares complexos</v>
      </c>
      <c r="F19" s="218">
        <f t="shared" si="0"/>
        <v>0</v>
      </c>
      <c r="G19" s="129">
        <v>0</v>
      </c>
      <c r="H19" s="130">
        <v>0</v>
      </c>
      <c r="I19" s="130">
        <v>0</v>
      </c>
      <c r="J19" s="130">
        <v>0</v>
      </c>
      <c r="K19" s="130">
        <v>0</v>
      </c>
      <c r="L19" s="130">
        <v>0</v>
      </c>
    </row>
    <row r="20" spans="1:12" ht="55.5" customHeight="1" x14ac:dyDescent="0.25">
      <c r="A20" s="572"/>
      <c r="B20" s="573"/>
      <c r="C20" s="574" t="s">
        <v>55</v>
      </c>
      <c r="D20" s="557"/>
      <c r="E20" s="218" t="str">
        <f t="shared" si="1"/>
        <v>2.3.3 Agricultura com espaços naturais e seminaturais</v>
      </c>
      <c r="F20" s="218">
        <f t="shared" si="0"/>
        <v>0.2</v>
      </c>
      <c r="G20" s="129">
        <v>0</v>
      </c>
      <c r="H20" s="130">
        <v>0</v>
      </c>
      <c r="I20" s="130">
        <v>0.2</v>
      </c>
      <c r="J20" s="130">
        <v>0</v>
      </c>
      <c r="K20" s="130">
        <v>0</v>
      </c>
      <c r="L20" s="130">
        <v>0</v>
      </c>
    </row>
    <row r="21" spans="1:12" ht="55.5" customHeight="1" x14ac:dyDescent="0.25">
      <c r="A21" s="573"/>
      <c r="B21" s="574" t="s">
        <v>288</v>
      </c>
      <c r="C21" s="559"/>
      <c r="D21" s="557"/>
      <c r="E21" s="218" t="str">
        <f>B21</f>
        <v>2.4 Agricultura protegida (estufas) e viveiros</v>
      </c>
      <c r="F21" s="218">
        <f t="shared" si="0"/>
        <v>0</v>
      </c>
      <c r="G21" s="129">
        <v>0</v>
      </c>
      <c r="H21" s="130">
        <v>0</v>
      </c>
      <c r="I21" s="130">
        <v>0</v>
      </c>
      <c r="J21" s="130">
        <v>0</v>
      </c>
      <c r="K21" s="130">
        <v>0</v>
      </c>
      <c r="L21" s="130">
        <v>0</v>
      </c>
    </row>
    <row r="22" spans="1:12" ht="26.1" customHeight="1" x14ac:dyDescent="0.25">
      <c r="A22" s="581" t="s">
        <v>289</v>
      </c>
      <c r="B22" s="581" t="s">
        <v>290</v>
      </c>
      <c r="C22" s="581" t="s">
        <v>291</v>
      </c>
      <c r="D22" s="580"/>
      <c r="E22" s="218" t="str">
        <f>C22</f>
        <v>3.1.1 Pastagens melhoradas</v>
      </c>
      <c r="F22" s="218">
        <f t="shared" si="0"/>
        <v>0</v>
      </c>
      <c r="G22" s="130">
        <v>0</v>
      </c>
      <c r="H22" s="130">
        <v>0</v>
      </c>
      <c r="I22" s="130">
        <v>0</v>
      </c>
      <c r="J22" s="130">
        <v>0</v>
      </c>
      <c r="K22" s="130">
        <v>0</v>
      </c>
      <c r="L22" s="130">
        <v>0</v>
      </c>
    </row>
    <row r="23" spans="1:12" ht="26.1" customHeight="1" x14ac:dyDescent="0.25">
      <c r="A23" s="573"/>
      <c r="B23" s="573"/>
      <c r="C23" s="571" t="s">
        <v>56</v>
      </c>
      <c r="D23" s="557"/>
      <c r="E23" s="218" t="str">
        <f>C23</f>
        <v>3.1.2 Pastagens espontâneas</v>
      </c>
      <c r="F23" s="218">
        <f t="shared" si="0"/>
        <v>0</v>
      </c>
      <c r="G23" s="130">
        <v>0</v>
      </c>
      <c r="H23" s="130">
        <v>0</v>
      </c>
      <c r="I23" s="130">
        <v>0</v>
      </c>
      <c r="J23" s="130">
        <v>0.5</v>
      </c>
      <c r="K23" s="130">
        <v>0</v>
      </c>
      <c r="L23" s="130">
        <v>0</v>
      </c>
    </row>
    <row r="24" spans="1:12" ht="55.5" customHeight="1" x14ac:dyDescent="0.25">
      <c r="A24" s="571" t="s">
        <v>292</v>
      </c>
      <c r="B24" s="571" t="s">
        <v>293</v>
      </c>
      <c r="C24" s="571" t="s">
        <v>294</v>
      </c>
      <c r="D24" s="132" t="s">
        <v>57</v>
      </c>
      <c r="E24" s="218" t="str">
        <f t="shared" ref="E24:E38" si="2">D24</f>
        <v>4.1.1.1 SAF de sobreiro</v>
      </c>
      <c r="F24" s="218">
        <f t="shared" si="0"/>
        <v>0.2</v>
      </c>
      <c r="G24" s="130">
        <v>0</v>
      </c>
      <c r="H24" s="130">
        <v>0</v>
      </c>
      <c r="I24" s="130">
        <v>0.2</v>
      </c>
      <c r="J24" s="130">
        <v>0.8</v>
      </c>
      <c r="K24" s="130">
        <v>0</v>
      </c>
      <c r="L24" s="130">
        <v>0</v>
      </c>
    </row>
    <row r="25" spans="1:12" ht="55.5" customHeight="1" x14ac:dyDescent="0.25">
      <c r="A25" s="572"/>
      <c r="B25" s="572"/>
      <c r="C25" s="572"/>
      <c r="D25" s="132" t="s">
        <v>58</v>
      </c>
      <c r="E25" s="218" t="str">
        <f t="shared" si="2"/>
        <v>4.1.1.2 SAF de azinheira</v>
      </c>
      <c r="F25" s="218">
        <f t="shared" si="0"/>
        <v>0.2</v>
      </c>
      <c r="G25" s="130">
        <v>0</v>
      </c>
      <c r="H25" s="130">
        <v>0</v>
      </c>
      <c r="I25" s="130">
        <v>0.2</v>
      </c>
      <c r="J25" s="130">
        <v>0.8</v>
      </c>
      <c r="K25" s="130">
        <v>0</v>
      </c>
      <c r="L25" s="130">
        <v>0</v>
      </c>
    </row>
    <row r="26" spans="1:12" ht="55.5" customHeight="1" x14ac:dyDescent="0.25">
      <c r="A26" s="572"/>
      <c r="B26" s="572"/>
      <c r="C26" s="572"/>
      <c r="D26" s="132" t="s">
        <v>59</v>
      </c>
      <c r="E26" s="218" t="str">
        <f t="shared" si="2"/>
        <v>4.1.1.3 SAF de outros carvalhos</v>
      </c>
      <c r="F26" s="218">
        <f t="shared" si="0"/>
        <v>0.2</v>
      </c>
      <c r="G26" s="130">
        <v>0</v>
      </c>
      <c r="H26" s="130">
        <v>0</v>
      </c>
      <c r="I26" s="130">
        <v>0.2</v>
      </c>
      <c r="J26" s="130">
        <v>0.8</v>
      </c>
      <c r="K26" s="130">
        <v>0</v>
      </c>
      <c r="L26" s="130">
        <v>0</v>
      </c>
    </row>
    <row r="27" spans="1:12" ht="55.5" customHeight="1" x14ac:dyDescent="0.25">
      <c r="A27" s="572"/>
      <c r="B27" s="572"/>
      <c r="C27" s="572"/>
      <c r="D27" s="132" t="s">
        <v>60</v>
      </c>
      <c r="E27" s="218" t="str">
        <f t="shared" si="2"/>
        <v>4.1.1.4 SAF de pinheiro manso (produção fruto)</v>
      </c>
      <c r="F27" s="218">
        <f t="shared" si="0"/>
        <v>0.2</v>
      </c>
      <c r="G27" s="130">
        <v>0</v>
      </c>
      <c r="H27" s="130">
        <v>0</v>
      </c>
      <c r="I27" s="130">
        <v>0.2</v>
      </c>
      <c r="J27" s="130">
        <v>0.8</v>
      </c>
      <c r="K27" s="130">
        <v>0</v>
      </c>
      <c r="L27" s="130">
        <v>0</v>
      </c>
    </row>
    <row r="28" spans="1:12" ht="55.5" customHeight="1" x14ac:dyDescent="0.25">
      <c r="A28" s="573"/>
      <c r="B28" s="573"/>
      <c r="C28" s="573"/>
      <c r="D28" s="132" t="s">
        <v>61</v>
      </c>
      <c r="E28" s="218" t="str">
        <f t="shared" si="2"/>
        <v>4.1.1.5 SAF de outras espécies</v>
      </c>
      <c r="F28" s="218">
        <f t="shared" si="0"/>
        <v>0.2</v>
      </c>
      <c r="G28" s="130">
        <v>0</v>
      </c>
      <c r="H28" s="130">
        <v>0</v>
      </c>
      <c r="I28" s="130">
        <v>0.2</v>
      </c>
      <c r="J28" s="130">
        <v>0.8</v>
      </c>
      <c r="K28" s="130">
        <v>0</v>
      </c>
      <c r="L28" s="130">
        <v>0</v>
      </c>
    </row>
    <row r="29" spans="1:12" ht="55.5" customHeight="1" x14ac:dyDescent="0.25">
      <c r="A29" s="571" t="s">
        <v>295</v>
      </c>
      <c r="B29" s="571" t="s">
        <v>296</v>
      </c>
      <c r="C29" s="571" t="s">
        <v>297</v>
      </c>
      <c r="D29" s="132" t="s">
        <v>62</v>
      </c>
      <c r="E29" s="218" t="str">
        <f t="shared" si="2"/>
        <v>5.1.1.1 Florestas de sobreiro (sobreiral)</v>
      </c>
      <c r="F29" s="218">
        <f t="shared" si="0"/>
        <v>1</v>
      </c>
      <c r="G29" s="130">
        <v>0</v>
      </c>
      <c r="H29" s="130">
        <v>1</v>
      </c>
      <c r="I29" s="130">
        <v>0</v>
      </c>
      <c r="J29" s="130">
        <v>1</v>
      </c>
      <c r="K29" s="130">
        <v>0</v>
      </c>
      <c r="L29" s="130">
        <v>0</v>
      </c>
    </row>
    <row r="30" spans="1:12" ht="55.5" customHeight="1" x14ac:dyDescent="0.25">
      <c r="A30" s="572"/>
      <c r="B30" s="572"/>
      <c r="C30" s="572"/>
      <c r="D30" s="132" t="s">
        <v>63</v>
      </c>
      <c r="E30" s="218" t="str">
        <f t="shared" si="2"/>
        <v>5.1.1.2 Florestas de azinheira (azinhal)</v>
      </c>
      <c r="F30" s="218">
        <f t="shared" si="0"/>
        <v>1</v>
      </c>
      <c r="G30" s="130">
        <v>0</v>
      </c>
      <c r="H30" s="130">
        <v>1</v>
      </c>
      <c r="I30" s="130">
        <v>0</v>
      </c>
      <c r="J30" s="130">
        <v>1</v>
      </c>
      <c r="K30" s="130">
        <v>0</v>
      </c>
      <c r="L30" s="130">
        <v>0</v>
      </c>
    </row>
    <row r="31" spans="1:12" ht="55.5" customHeight="1" x14ac:dyDescent="0.25">
      <c r="A31" s="572"/>
      <c r="B31" s="572"/>
      <c r="C31" s="572"/>
      <c r="D31" s="132" t="s">
        <v>64</v>
      </c>
      <c r="E31" s="218" t="str">
        <f t="shared" si="2"/>
        <v>5.1.1.3 Florestas de outros carvalhos</v>
      </c>
      <c r="F31" s="218">
        <f t="shared" si="0"/>
        <v>1</v>
      </c>
      <c r="G31" s="130">
        <v>0</v>
      </c>
      <c r="H31" s="130">
        <v>1</v>
      </c>
      <c r="I31" s="130">
        <v>0</v>
      </c>
      <c r="J31" s="130">
        <v>1</v>
      </c>
      <c r="K31" s="130">
        <v>0</v>
      </c>
      <c r="L31" s="130">
        <v>0</v>
      </c>
    </row>
    <row r="32" spans="1:12" ht="55.5" customHeight="1" x14ac:dyDescent="0.25">
      <c r="A32" s="572"/>
      <c r="B32" s="572"/>
      <c r="C32" s="572"/>
      <c r="D32" s="132" t="s">
        <v>65</v>
      </c>
      <c r="E32" s="218" t="str">
        <f t="shared" si="2"/>
        <v>5.1.1.4 Florestas de castanheiro (castinçal)</v>
      </c>
      <c r="F32" s="218">
        <f t="shared" si="0"/>
        <v>1</v>
      </c>
      <c r="G32" s="130">
        <v>0</v>
      </c>
      <c r="H32" s="130">
        <v>1</v>
      </c>
      <c r="I32" s="130">
        <v>0</v>
      </c>
      <c r="J32" s="130">
        <v>1</v>
      </c>
      <c r="K32" s="130">
        <v>0</v>
      </c>
      <c r="L32" s="130">
        <v>0</v>
      </c>
    </row>
    <row r="33" spans="1:12" ht="55.5" customHeight="1" x14ac:dyDescent="0.25">
      <c r="A33" s="572"/>
      <c r="B33" s="572"/>
      <c r="C33" s="572"/>
      <c r="D33" s="132" t="s">
        <v>66</v>
      </c>
      <c r="E33" s="218" t="str">
        <f t="shared" si="2"/>
        <v>5.1.1.5 Florestas de eucalipto</v>
      </c>
      <c r="F33" s="218">
        <f t="shared" si="0"/>
        <v>1</v>
      </c>
      <c r="G33" s="130">
        <v>1</v>
      </c>
      <c r="H33" s="130">
        <v>0</v>
      </c>
      <c r="I33" s="130">
        <v>0</v>
      </c>
      <c r="J33" s="130">
        <v>1</v>
      </c>
      <c r="K33" s="130">
        <v>1</v>
      </c>
      <c r="L33" s="130">
        <v>1</v>
      </c>
    </row>
    <row r="34" spans="1:12" ht="55.5" customHeight="1" x14ac:dyDescent="0.25">
      <c r="A34" s="572"/>
      <c r="B34" s="572"/>
      <c r="C34" s="572"/>
      <c r="D34" s="132" t="s">
        <v>67</v>
      </c>
      <c r="E34" s="218" t="str">
        <f t="shared" si="2"/>
        <v>5.1.1.6 Florestas de espécies invasoras</v>
      </c>
      <c r="F34" s="218">
        <f t="shared" si="0"/>
        <v>1</v>
      </c>
      <c r="G34" s="130">
        <v>1</v>
      </c>
      <c r="H34" s="130">
        <v>0</v>
      </c>
      <c r="I34" s="130">
        <v>0</v>
      </c>
      <c r="J34" s="130">
        <v>1</v>
      </c>
      <c r="K34" s="130">
        <v>1</v>
      </c>
      <c r="L34" s="130">
        <v>1</v>
      </c>
    </row>
    <row r="35" spans="1:12" ht="55.5" customHeight="1" x14ac:dyDescent="0.25">
      <c r="A35" s="572"/>
      <c r="B35" s="572"/>
      <c r="C35" s="573"/>
      <c r="D35" s="132" t="s">
        <v>68</v>
      </c>
      <c r="E35" s="218" t="str">
        <f t="shared" si="2"/>
        <v>5.1.1.7 Florestas de outras folhosas (inclui medronheiro)</v>
      </c>
      <c r="F35" s="218">
        <f t="shared" si="0"/>
        <v>1</v>
      </c>
      <c r="G35" s="130">
        <v>0</v>
      </c>
      <c r="H35" s="130">
        <v>1</v>
      </c>
      <c r="I35" s="130">
        <v>0</v>
      </c>
      <c r="J35" s="130">
        <v>1</v>
      </c>
      <c r="K35" s="130">
        <v>0</v>
      </c>
      <c r="L35" s="130">
        <v>0</v>
      </c>
    </row>
    <row r="36" spans="1:12" ht="55.5" customHeight="1" x14ac:dyDescent="0.25">
      <c r="A36" s="572"/>
      <c r="B36" s="572"/>
      <c r="C36" s="571" t="s">
        <v>298</v>
      </c>
      <c r="D36" s="132" t="s">
        <v>69</v>
      </c>
      <c r="E36" s="218" t="str">
        <f t="shared" si="2"/>
        <v>5.1.2.1 Florestas de pinheiro bravo</v>
      </c>
      <c r="F36" s="218">
        <f t="shared" si="0"/>
        <v>1</v>
      </c>
      <c r="G36" s="130">
        <v>1</v>
      </c>
      <c r="H36" s="130">
        <v>0</v>
      </c>
      <c r="I36" s="130">
        <v>0</v>
      </c>
      <c r="J36" s="130">
        <v>1</v>
      </c>
      <c r="K36" s="130">
        <v>0</v>
      </c>
      <c r="L36" s="130">
        <v>1</v>
      </c>
    </row>
    <row r="37" spans="1:12" ht="55.5" customHeight="1" x14ac:dyDescent="0.25">
      <c r="A37" s="572"/>
      <c r="B37" s="572"/>
      <c r="C37" s="572"/>
      <c r="D37" s="132" t="s">
        <v>70</v>
      </c>
      <c r="E37" s="218" t="str">
        <f t="shared" si="2"/>
        <v>5.1.2.2 Florestas de pinheiro manso (produção lenho)</v>
      </c>
      <c r="F37" s="218">
        <f t="shared" si="0"/>
        <v>1</v>
      </c>
      <c r="G37" s="130">
        <v>0</v>
      </c>
      <c r="H37" s="130">
        <v>1</v>
      </c>
      <c r="I37" s="130">
        <v>0</v>
      </c>
      <c r="J37" s="130">
        <v>1</v>
      </c>
      <c r="K37" s="130">
        <v>0</v>
      </c>
      <c r="L37" s="130">
        <v>0</v>
      </c>
    </row>
    <row r="38" spans="1:12" ht="55.5" customHeight="1" x14ac:dyDescent="0.25">
      <c r="A38" s="573"/>
      <c r="B38" s="573"/>
      <c r="C38" s="573"/>
      <c r="D38" s="132" t="s">
        <v>71</v>
      </c>
      <c r="E38" s="218" t="str">
        <f t="shared" si="2"/>
        <v>5.1.2.3 Florestas de outras resinosas</v>
      </c>
      <c r="F38" s="218">
        <f t="shared" si="0"/>
        <v>1</v>
      </c>
      <c r="G38" s="130">
        <v>0</v>
      </c>
      <c r="H38" s="130">
        <v>1</v>
      </c>
      <c r="I38" s="130">
        <v>0</v>
      </c>
      <c r="J38" s="130">
        <v>1</v>
      </c>
      <c r="K38" s="130">
        <v>0</v>
      </c>
      <c r="L38" s="130">
        <v>1</v>
      </c>
    </row>
    <row r="39" spans="1:12" ht="55.5" customHeight="1" x14ac:dyDescent="0.25">
      <c r="A39" s="582" t="s">
        <v>72</v>
      </c>
      <c r="B39" s="583"/>
      <c r="C39" s="583"/>
      <c r="D39" s="584"/>
      <c r="E39" s="218" t="str">
        <f>A39</f>
        <v>6. Matos</v>
      </c>
      <c r="F39" s="218">
        <f t="shared" si="0"/>
        <v>0</v>
      </c>
      <c r="G39" s="130">
        <v>0</v>
      </c>
      <c r="H39" s="130">
        <v>0</v>
      </c>
      <c r="I39" s="130">
        <v>0</v>
      </c>
      <c r="J39" s="130">
        <v>1</v>
      </c>
      <c r="K39" s="130">
        <v>0</v>
      </c>
      <c r="L39" s="130">
        <v>0</v>
      </c>
    </row>
    <row r="40" spans="1:12" ht="55.5" customHeight="1" x14ac:dyDescent="0.25">
      <c r="A40" s="575" t="s">
        <v>299</v>
      </c>
      <c r="B40" s="575" t="s">
        <v>300</v>
      </c>
      <c r="C40" s="575" t="s">
        <v>73</v>
      </c>
      <c r="D40" s="557"/>
      <c r="E40" s="218" t="str">
        <f>C40</f>
        <v>7.1.1 Praias, dunas e areais</v>
      </c>
      <c r="F40" s="218">
        <f t="shared" si="0"/>
        <v>0</v>
      </c>
      <c r="G40" s="130">
        <v>0</v>
      </c>
      <c r="H40" s="130">
        <v>0</v>
      </c>
      <c r="I40" s="130">
        <v>0</v>
      </c>
      <c r="J40" s="130">
        <v>0.5</v>
      </c>
      <c r="K40" s="130">
        <v>0</v>
      </c>
      <c r="L40" s="130">
        <v>0</v>
      </c>
    </row>
    <row r="41" spans="1:12" ht="55.5" customHeight="1" x14ac:dyDescent="0.25">
      <c r="A41" s="572"/>
      <c r="B41" s="572"/>
      <c r="C41" s="575" t="s">
        <v>74</v>
      </c>
      <c r="D41" s="557"/>
      <c r="E41" s="218" t="str">
        <f>C41</f>
        <v>7.1.2 Rocha nua</v>
      </c>
      <c r="F41" s="218">
        <f t="shared" si="0"/>
        <v>0</v>
      </c>
      <c r="G41" s="130">
        <v>0</v>
      </c>
      <c r="H41" s="130">
        <v>0</v>
      </c>
      <c r="I41" s="130">
        <v>0</v>
      </c>
      <c r="J41" s="130">
        <v>0.5</v>
      </c>
      <c r="K41" s="130">
        <v>0</v>
      </c>
      <c r="L41" s="130">
        <v>0</v>
      </c>
    </row>
    <row r="42" spans="1:12" ht="55.5" customHeight="1" x14ac:dyDescent="0.25">
      <c r="A42" s="573"/>
      <c r="B42" s="573"/>
      <c r="C42" s="575" t="s">
        <v>75</v>
      </c>
      <c r="D42" s="557"/>
      <c r="E42" s="218" t="str">
        <f>C42</f>
        <v>7.1.3 Vegetação esparsa</v>
      </c>
      <c r="F42" s="218">
        <f t="shared" si="0"/>
        <v>0</v>
      </c>
      <c r="G42" s="130">
        <v>0</v>
      </c>
      <c r="H42" s="130">
        <v>0</v>
      </c>
      <c r="I42" s="130">
        <v>0</v>
      </c>
      <c r="J42" s="130">
        <v>0.5</v>
      </c>
      <c r="K42" s="130">
        <v>0</v>
      </c>
      <c r="L42" s="130">
        <v>0</v>
      </c>
    </row>
    <row r="43" spans="1:12" ht="55.5" customHeight="1" x14ac:dyDescent="0.25">
      <c r="A43" s="575" t="s">
        <v>301</v>
      </c>
      <c r="B43" s="559"/>
      <c r="C43" s="559"/>
      <c r="D43" s="557"/>
      <c r="E43" s="218" t="str">
        <f>A43</f>
        <v>8. Zonas húmidas</v>
      </c>
      <c r="F43" s="218">
        <f t="shared" si="0"/>
        <v>0</v>
      </c>
      <c r="G43" s="130">
        <v>0</v>
      </c>
      <c r="H43" s="130">
        <v>0</v>
      </c>
      <c r="I43" s="130">
        <v>0</v>
      </c>
      <c r="J43" s="130">
        <v>0</v>
      </c>
      <c r="K43" s="130">
        <v>0</v>
      </c>
      <c r="L43" s="130">
        <v>0</v>
      </c>
    </row>
    <row r="44" spans="1:12" ht="55.5" customHeight="1" x14ac:dyDescent="0.25">
      <c r="A44" s="575" t="s">
        <v>302</v>
      </c>
      <c r="B44" s="559"/>
      <c r="C44" s="559"/>
      <c r="D44" s="557"/>
      <c r="E44" s="218" t="str">
        <f>A44</f>
        <v>9. Massas água superficiais</v>
      </c>
      <c r="F44" s="218">
        <f t="shared" si="0"/>
        <v>0</v>
      </c>
      <c r="G44" s="130">
        <v>0</v>
      </c>
      <c r="H44" s="130">
        <v>0</v>
      </c>
      <c r="I44" s="130">
        <v>0</v>
      </c>
      <c r="J44" s="130">
        <v>0</v>
      </c>
      <c r="K44" s="130">
        <v>0</v>
      </c>
      <c r="L44" s="130">
        <v>0</v>
      </c>
    </row>
    <row r="53" spans="1:1" ht="33.6" customHeight="1" x14ac:dyDescent="0.25">
      <c r="A53" s="133"/>
    </row>
    <row r="54" spans="1:1" ht="35.450000000000003" customHeight="1" x14ac:dyDescent="0.25">
      <c r="A54" s="133"/>
    </row>
    <row r="55" spans="1:1" ht="30.95" customHeight="1" x14ac:dyDescent="0.25">
      <c r="A55" s="133"/>
    </row>
  </sheetData>
  <sheetProtection algorithmName="SHA-512" hashValue="ZPhgHC9KKED1TW/pfnVymtbqH+uXUzea0kEL23t/zu7s/iZLTP0MBLLzvcmhTOmLVF7S1PleQYzMtedVFlJg2g==" saltValue="VAbZoSfBLgneuMUM/8AUTg==" spinCount="100000" sheet="1" objects="1" scenarios="1"/>
  <mergeCells count="44">
    <mergeCell ref="A1:P1"/>
    <mergeCell ref="C11:D11"/>
    <mergeCell ref="A24:A28"/>
    <mergeCell ref="A14:A21"/>
    <mergeCell ref="C24:C28"/>
    <mergeCell ref="B7:D7"/>
    <mergeCell ref="C23:D23"/>
    <mergeCell ref="C17:D17"/>
    <mergeCell ref="B18:B20"/>
    <mergeCell ref="B22:B23"/>
    <mergeCell ref="C19:D19"/>
    <mergeCell ref="B21:D21"/>
    <mergeCell ref="C18:D18"/>
    <mergeCell ref="G3:L3"/>
    <mergeCell ref="B11:B12"/>
    <mergeCell ref="B13:D13"/>
    <mergeCell ref="B5:D5"/>
    <mergeCell ref="A29:A38"/>
    <mergeCell ref="C15:D15"/>
    <mergeCell ref="A43:D43"/>
    <mergeCell ref="A44:D44"/>
    <mergeCell ref="C20:D20"/>
    <mergeCell ref="A5:A13"/>
    <mergeCell ref="C10:D10"/>
    <mergeCell ref="C16:D16"/>
    <mergeCell ref="B24:B28"/>
    <mergeCell ref="C41:D41"/>
    <mergeCell ref="A39:D39"/>
    <mergeCell ref="C22:D22"/>
    <mergeCell ref="C40:D40"/>
    <mergeCell ref="C9:D9"/>
    <mergeCell ref="B6:D6"/>
    <mergeCell ref="B40:B42"/>
    <mergeCell ref="B8:D8"/>
    <mergeCell ref="C42:D42"/>
    <mergeCell ref="A22:A23"/>
    <mergeCell ref="B29:B38"/>
    <mergeCell ref="C29:C35"/>
    <mergeCell ref="C36:C38"/>
    <mergeCell ref="C14:D14"/>
    <mergeCell ref="B15:B17"/>
    <mergeCell ref="A40:A42"/>
    <mergeCell ref="B9:B10"/>
    <mergeCell ref="C12:D12"/>
  </mergeCells>
  <pageMargins left="0.7" right="0.7" top="0.75" bottom="0.75" header="0.3" footer="0.3"/>
  <pageSetup paperSize="9" orientation="portrait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olha13">
    <tabColor rgb="FF7030A0"/>
  </sheetPr>
  <dimension ref="A1:O49"/>
  <sheetViews>
    <sheetView topLeftCell="A4" workbookViewId="0">
      <selection activeCell="I10" sqref="I10"/>
    </sheetView>
  </sheetViews>
  <sheetFormatPr defaultColWidth="8.7109375" defaultRowHeight="12.75" x14ac:dyDescent="0.25"/>
  <cols>
    <col min="1" max="4" width="15.140625" style="125" customWidth="1"/>
    <col min="5" max="5" width="13" style="125" bestFit="1" customWidth="1"/>
    <col min="6" max="6" width="12.140625" style="125" bestFit="1" customWidth="1"/>
    <col min="7" max="7" width="11.28515625" style="125" bestFit="1" customWidth="1"/>
    <col min="8" max="10" width="8.7109375" style="125" customWidth="1"/>
    <col min="11" max="12" width="9.85546875" style="125" bestFit="1" customWidth="1"/>
    <col min="13" max="13" width="8.7109375" style="125" customWidth="1"/>
    <col min="14" max="16384" width="8.7109375" style="125"/>
  </cols>
  <sheetData>
    <row r="1" spans="1:15" s="208" customFormat="1" ht="33.75" customHeight="1" x14ac:dyDescent="0.25">
      <c r="A1" s="534" t="s">
        <v>201</v>
      </c>
      <c r="B1" s="586"/>
      <c r="C1" s="586"/>
      <c r="D1" s="586"/>
      <c r="E1" s="586"/>
      <c r="F1" s="586"/>
      <c r="G1" s="586"/>
      <c r="H1" s="586"/>
      <c r="I1" s="586"/>
      <c r="J1" s="586"/>
      <c r="K1" s="586"/>
      <c r="L1" s="586"/>
      <c r="M1" s="586"/>
      <c r="N1" s="586"/>
    </row>
    <row r="2" spans="1:15" ht="24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</row>
    <row r="3" spans="1:15" ht="50.1" customHeight="1" x14ac:dyDescent="0.25">
      <c r="A3" s="134"/>
      <c r="B3" s="134"/>
      <c r="C3" s="134"/>
      <c r="D3" s="135"/>
      <c r="E3" s="587" t="s">
        <v>303</v>
      </c>
      <c r="F3" s="559"/>
      <c r="G3" s="559"/>
      <c r="H3" s="559"/>
      <c r="I3" s="559"/>
      <c r="J3" s="557"/>
      <c r="K3" s="137"/>
      <c r="L3" s="137"/>
      <c r="M3" s="137"/>
      <c r="N3" s="138"/>
    </row>
    <row r="4" spans="1:15" ht="50.1" customHeight="1" x14ac:dyDescent="0.25">
      <c r="A4" s="134"/>
      <c r="B4" s="134"/>
      <c r="C4" s="134"/>
      <c r="D4" s="135"/>
      <c r="E4" s="128" t="s">
        <v>260</v>
      </c>
      <c r="F4" s="128" t="s">
        <v>261</v>
      </c>
      <c r="G4" s="128" t="s">
        <v>262</v>
      </c>
      <c r="H4" s="128" t="s">
        <v>263</v>
      </c>
      <c r="I4" s="128" t="s">
        <v>264</v>
      </c>
      <c r="J4" s="128" t="s">
        <v>265</v>
      </c>
      <c r="K4" s="139" t="s">
        <v>304</v>
      </c>
      <c r="L4" s="139" t="s">
        <v>305</v>
      </c>
      <c r="M4" s="139" t="s">
        <v>306</v>
      </c>
      <c r="N4" s="140" t="s">
        <v>307</v>
      </c>
      <c r="O4" s="140" t="s">
        <v>308</v>
      </c>
    </row>
    <row r="5" spans="1:15" ht="50.1" customHeight="1" x14ac:dyDescent="0.25">
      <c r="A5" s="574" t="s">
        <v>266</v>
      </c>
      <c r="B5" s="574" t="s">
        <v>267</v>
      </c>
      <c r="C5" s="559"/>
      <c r="D5" s="557"/>
      <c r="E5" s="141">
        <f>IF('FE-FxServ-Estabelecimento'!G5=0,0,'FE-Faixa de Servidão'!$C$8*'FE-FxServ-Estabelecimento'!G5)</f>
        <v>0</v>
      </c>
      <c r="F5" s="141">
        <f>IF('FE-FxServ-Estabelecimento'!H5=0,0,'FE-Faixa de Servidão'!$C$8*'FE-FxServ-Estabelecimento'!H5)</f>
        <v>0</v>
      </c>
      <c r="G5" s="141">
        <f>IF('FE-FxServ-Estabelecimento'!I5=0,0,'FE-Faixa de Servidão'!$C$9*'FE-FxServ-Estabelecimento'!I5)</f>
        <v>0</v>
      </c>
      <c r="H5" s="141">
        <f>IF('FE-FxServ-Estabelecimento'!J5=0,0,'FE-Faixa de Servidão'!$C$10*'FE-FxServ-Estabelecimento'!J5)</f>
        <v>0</v>
      </c>
      <c r="I5" s="141">
        <f>IF('FE-FxServ-Estabelecimento'!K5=0,0,'FE-Faixa de Servidão'!$C$11*'FE-FxServ-Estabelecimento'!K5)</f>
        <v>0</v>
      </c>
      <c r="J5" s="141">
        <f>IF('FE-FxServ-Estabelecimento'!L5=0,0,'FE-Faixa de Servidão'!$C$12*'FE-FxServ-Estabelecimento'!L5)</f>
        <v>0</v>
      </c>
      <c r="K5" s="141">
        <f t="shared" ref="K5:K44" si="0">SUM(E5:J5)</f>
        <v>0</v>
      </c>
      <c r="L5" s="141">
        <f>IF(K5=0,0,K5+'FE-Faixa de Servidão'!$E$8)</f>
        <v>0</v>
      </c>
      <c r="M5" s="141"/>
      <c r="N5" s="141">
        <f t="shared" ref="N5:N44" si="1">L5*M5</f>
        <v>0</v>
      </c>
      <c r="O5" s="146">
        <f>SUM(N5:N13)</f>
        <v>0</v>
      </c>
    </row>
    <row r="6" spans="1:15" ht="50.1" customHeight="1" x14ac:dyDescent="0.25">
      <c r="A6" s="572"/>
      <c r="B6" s="574" t="s">
        <v>268</v>
      </c>
      <c r="C6" s="559"/>
      <c r="D6" s="557"/>
      <c r="E6" s="141">
        <f>IF('FE-FxServ-Estabelecimento'!G6=0,0,'FE-Faixa de Servidão'!$C$8*'FE-FxServ-Estabelecimento'!G6)</f>
        <v>0</v>
      </c>
      <c r="F6" s="141">
        <f>IF('FE-FxServ-Estabelecimento'!H6=0,0,'FE-Faixa de Servidão'!$C$8*'FE-FxServ-Estabelecimento'!H6)</f>
        <v>0</v>
      </c>
      <c r="G6" s="141">
        <f>IF('FE-FxServ-Estabelecimento'!I6=0,0,'FE-Faixa de Servidão'!$C$9*'FE-FxServ-Estabelecimento'!I6)</f>
        <v>0</v>
      </c>
      <c r="H6" s="141">
        <f>IF('FE-FxServ-Estabelecimento'!J6=0,0,'FE-Faixa de Servidão'!$C$10*'FE-FxServ-Estabelecimento'!J6)</f>
        <v>0</v>
      </c>
      <c r="I6" s="141">
        <f>IF('FE-FxServ-Estabelecimento'!K6=0,0,'FE-Faixa de Servidão'!$C$11*'FE-FxServ-Estabelecimento'!K6)</f>
        <v>0</v>
      </c>
      <c r="J6" s="141">
        <f>IF('FE-FxServ-Estabelecimento'!L6=0,0,'FE-Faixa de Servidão'!$C$12*'FE-FxServ-Estabelecimento'!L6)</f>
        <v>0</v>
      </c>
      <c r="K6" s="141">
        <f t="shared" si="0"/>
        <v>0</v>
      </c>
      <c r="L6" s="141">
        <f>IF(K6=0,0,K6+'FE-Faixa de Servidão'!$E$8)</f>
        <v>0</v>
      </c>
      <c r="M6" s="141"/>
      <c r="N6" s="141">
        <f t="shared" si="1"/>
        <v>0</v>
      </c>
      <c r="O6" s="143"/>
    </row>
    <row r="7" spans="1:15" ht="50.1" customHeight="1" x14ac:dyDescent="0.25">
      <c r="A7" s="572"/>
      <c r="B7" s="574" t="s">
        <v>269</v>
      </c>
      <c r="C7" s="559"/>
      <c r="D7" s="557"/>
      <c r="E7" s="141">
        <f>IF('FE-FxServ-Estabelecimento'!G7=0,0,'FE-Faixa de Servidão'!$C$8*'FE-FxServ-Estabelecimento'!G7)</f>
        <v>0</v>
      </c>
      <c r="F7" s="141">
        <f>IF('FE-FxServ-Estabelecimento'!H7=0,0,'FE-Faixa de Servidão'!$C$8*'FE-FxServ-Estabelecimento'!H7)</f>
        <v>0</v>
      </c>
      <c r="G7" s="141">
        <f>IF('FE-FxServ-Estabelecimento'!I7=0,0,'FE-Faixa de Servidão'!$C$9*'FE-FxServ-Estabelecimento'!I7)</f>
        <v>0</v>
      </c>
      <c r="H7" s="141">
        <f>IF('FE-FxServ-Estabelecimento'!J7=0,0,'FE-Faixa de Servidão'!$C$10*'FE-FxServ-Estabelecimento'!J7)</f>
        <v>0</v>
      </c>
      <c r="I7" s="141">
        <f>IF('FE-FxServ-Estabelecimento'!K7=0,0,'FE-Faixa de Servidão'!$C$11*'FE-FxServ-Estabelecimento'!K7)</f>
        <v>0</v>
      </c>
      <c r="J7" s="141">
        <f>IF('FE-FxServ-Estabelecimento'!L7=0,0,'FE-Faixa de Servidão'!$C$12*'FE-FxServ-Estabelecimento'!L7)</f>
        <v>0</v>
      </c>
      <c r="K7" s="141">
        <f t="shared" si="0"/>
        <v>0</v>
      </c>
      <c r="L7" s="141">
        <f>IF(K7=0,0,K7+'FE-Faixa de Servidão'!$E$8)</f>
        <v>0</v>
      </c>
      <c r="M7" s="141"/>
      <c r="N7" s="141">
        <f t="shared" si="1"/>
        <v>0</v>
      </c>
      <c r="O7" s="143"/>
    </row>
    <row r="8" spans="1:15" ht="50.1" customHeight="1" x14ac:dyDescent="0.25">
      <c r="A8" s="572"/>
      <c r="B8" s="574" t="s">
        <v>270</v>
      </c>
      <c r="C8" s="559"/>
      <c r="D8" s="557"/>
      <c r="E8" s="141">
        <f>IF('FE-FxServ-Estabelecimento'!G8=0,0,'FE-Faixa de Servidão'!$C$8*'FE-FxServ-Estabelecimento'!G8)</f>
        <v>0</v>
      </c>
      <c r="F8" s="141">
        <f>IF('FE-FxServ-Estabelecimento'!H8=0,0,'FE-Faixa de Servidão'!$C$8*'FE-FxServ-Estabelecimento'!H8)</f>
        <v>0</v>
      </c>
      <c r="G8" s="141">
        <f>IF('FE-FxServ-Estabelecimento'!I8=0,0,'FE-Faixa de Servidão'!$C$9*'FE-FxServ-Estabelecimento'!I8)</f>
        <v>0</v>
      </c>
      <c r="H8" s="141">
        <f>IF('FE-FxServ-Estabelecimento'!J8=0,0,'FE-Faixa de Servidão'!$C$10*'FE-FxServ-Estabelecimento'!J8)</f>
        <v>0</v>
      </c>
      <c r="I8" s="141">
        <f>IF('FE-FxServ-Estabelecimento'!K8=0,0,'FE-Faixa de Servidão'!$C$11*'FE-FxServ-Estabelecimento'!K8)</f>
        <v>0</v>
      </c>
      <c r="J8" s="141">
        <f>IF('FE-FxServ-Estabelecimento'!L8=0,0,'FE-Faixa de Servidão'!$C$12*'FE-FxServ-Estabelecimento'!L8)</f>
        <v>0</v>
      </c>
      <c r="K8" s="141">
        <f t="shared" si="0"/>
        <v>0</v>
      </c>
      <c r="L8" s="141">
        <f>IF(K8=0,0,K8+'FE-Faixa de Servidão'!$E$8)</f>
        <v>0</v>
      </c>
      <c r="M8" s="141"/>
      <c r="N8" s="141">
        <f t="shared" si="1"/>
        <v>0</v>
      </c>
      <c r="O8" s="143"/>
    </row>
    <row r="9" spans="1:15" ht="50.1" customHeight="1" x14ac:dyDescent="0.25">
      <c r="A9" s="572"/>
      <c r="B9" s="574" t="s">
        <v>271</v>
      </c>
      <c r="C9" s="574" t="s">
        <v>272</v>
      </c>
      <c r="D9" s="557"/>
      <c r="E9" s="141">
        <f>IF('FE-FxServ-Estabelecimento'!G9=0,0,'FE-Faixa de Servidão'!$C$8*'FE-FxServ-Estabelecimento'!G9)</f>
        <v>0</v>
      </c>
      <c r="F9" s="141">
        <f>IF('FE-FxServ-Estabelecimento'!H9=0,0,'FE-Faixa de Servidão'!$C$8*'FE-FxServ-Estabelecimento'!H9)</f>
        <v>0</v>
      </c>
      <c r="G9" s="141">
        <f>IF('FE-FxServ-Estabelecimento'!I9=0,0,'FE-Faixa de Servidão'!$C$9*'FE-FxServ-Estabelecimento'!I9)</f>
        <v>0</v>
      </c>
      <c r="H9" s="141">
        <f>IF('FE-FxServ-Estabelecimento'!J9=0,0,'FE-Faixa de Servidão'!$C$10*'FE-FxServ-Estabelecimento'!J9)</f>
        <v>0</v>
      </c>
      <c r="I9" s="141">
        <f>IF('FE-FxServ-Estabelecimento'!K9=0,0,'FE-Faixa de Servidão'!$C$11*'FE-FxServ-Estabelecimento'!K9)</f>
        <v>0</v>
      </c>
      <c r="J9" s="141">
        <f>IF('FE-FxServ-Estabelecimento'!L9=0,0,'FE-Faixa de Servidão'!$C$12*'FE-FxServ-Estabelecimento'!L9)</f>
        <v>0</v>
      </c>
      <c r="K9" s="141">
        <f t="shared" si="0"/>
        <v>0</v>
      </c>
      <c r="L9" s="141">
        <f>IF(K9=0,0,K9+'FE-Faixa de Servidão'!$E$8)</f>
        <v>0</v>
      </c>
      <c r="M9" s="141"/>
      <c r="N9" s="141">
        <f t="shared" si="1"/>
        <v>0</v>
      </c>
      <c r="O9" s="143"/>
    </row>
    <row r="10" spans="1:15" ht="50.1" customHeight="1" x14ac:dyDescent="0.25">
      <c r="A10" s="572"/>
      <c r="B10" s="573"/>
      <c r="C10" s="574" t="s">
        <v>273</v>
      </c>
      <c r="D10" s="557"/>
      <c r="E10" s="141">
        <f>IF('FE-FxServ-Estabelecimento'!G10=0,0,'FE-Faixa de Servidão'!$C$8*'FE-FxServ-Estabelecimento'!G10)</f>
        <v>0</v>
      </c>
      <c r="F10" s="141">
        <f>IF('FE-FxServ-Estabelecimento'!H10=0,0,'FE-Faixa de Servidão'!$C$8*'FE-FxServ-Estabelecimento'!H10)</f>
        <v>0</v>
      </c>
      <c r="G10" s="141">
        <f>IF('FE-FxServ-Estabelecimento'!I10=0,0,'FE-Faixa de Servidão'!$C$9*'FE-FxServ-Estabelecimento'!I10)</f>
        <v>0</v>
      </c>
      <c r="H10" s="141">
        <f>IF('FE-FxServ-Estabelecimento'!J10=0,0,'FE-Faixa de Servidão'!$C$10*'FE-FxServ-Estabelecimento'!J10)</f>
        <v>0</v>
      </c>
      <c r="I10" s="141">
        <f>IF('FE-FxServ-Estabelecimento'!K10=0,0,'FE-Faixa de Servidão'!$C$11*'FE-FxServ-Estabelecimento'!K10)</f>
        <v>0</v>
      </c>
      <c r="J10" s="141">
        <f>IF('FE-FxServ-Estabelecimento'!L10=0,0,'FE-Faixa de Servidão'!$C$12*'FE-FxServ-Estabelecimento'!L10)</f>
        <v>0</v>
      </c>
      <c r="K10" s="141">
        <f t="shared" si="0"/>
        <v>0</v>
      </c>
      <c r="L10" s="141">
        <f>IF(K10=0,0,K10+'FE-Faixa de Servidão'!$E$8)</f>
        <v>0</v>
      </c>
      <c r="M10" s="141"/>
      <c r="N10" s="141">
        <f t="shared" si="1"/>
        <v>0</v>
      </c>
      <c r="O10" s="143"/>
    </row>
    <row r="11" spans="1:15" ht="50.1" customHeight="1" x14ac:dyDescent="0.25">
      <c r="A11" s="572"/>
      <c r="B11" s="574" t="s">
        <v>274</v>
      </c>
      <c r="C11" s="574" t="s">
        <v>275</v>
      </c>
      <c r="D11" s="557"/>
      <c r="E11" s="141">
        <f>IF('FE-FxServ-Estabelecimento'!G11=0,0,'FE-Faixa de Servidão'!$C$8*'FE-FxServ-Estabelecimento'!G11)</f>
        <v>0</v>
      </c>
      <c r="F11" s="141">
        <f>IF('FE-FxServ-Estabelecimento'!H11=0,0,'FE-Faixa de Servidão'!$C$8*'FE-FxServ-Estabelecimento'!H11)</f>
        <v>0</v>
      </c>
      <c r="G11" s="141">
        <f>IF('FE-FxServ-Estabelecimento'!I11=0,0,'FE-Faixa de Servidão'!$C$9*'FE-FxServ-Estabelecimento'!I11)</f>
        <v>0</v>
      </c>
      <c r="H11" s="141">
        <f>IF('FE-FxServ-Estabelecimento'!J11=0,0,'FE-Faixa de Servidão'!$C$10*'FE-FxServ-Estabelecimento'!J11)</f>
        <v>0</v>
      </c>
      <c r="I11" s="141">
        <f>IF('FE-FxServ-Estabelecimento'!K11=0,0,'FE-Faixa de Servidão'!$C$11*'FE-FxServ-Estabelecimento'!K11)</f>
        <v>0</v>
      </c>
      <c r="J11" s="141">
        <f>IF('FE-FxServ-Estabelecimento'!L11=0,0,'FE-Faixa de Servidão'!$C$12*'FE-FxServ-Estabelecimento'!L11)</f>
        <v>0</v>
      </c>
      <c r="K11" s="141">
        <f t="shared" si="0"/>
        <v>0</v>
      </c>
      <c r="L11" s="141">
        <f>IF(K11=0,0,K11+'FE-Faixa de Servidão'!$E$8)</f>
        <v>0</v>
      </c>
      <c r="M11" s="141"/>
      <c r="N11" s="141">
        <f t="shared" si="1"/>
        <v>0</v>
      </c>
      <c r="O11" s="143"/>
    </row>
    <row r="12" spans="1:15" ht="50.1" customHeight="1" x14ac:dyDescent="0.25">
      <c r="A12" s="572"/>
      <c r="B12" s="573"/>
      <c r="C12" s="574" t="s">
        <v>276</v>
      </c>
      <c r="D12" s="557"/>
      <c r="E12" s="141">
        <f>IF('FE-FxServ-Estabelecimento'!G12=0,0,'FE-Faixa de Servidão'!$C$8*'FE-FxServ-Estabelecimento'!G12)</f>
        <v>0</v>
      </c>
      <c r="F12" s="141">
        <f>IF('FE-FxServ-Estabelecimento'!H12=0,0,'FE-Faixa de Servidão'!$C$8*'FE-FxServ-Estabelecimento'!H12)</f>
        <v>0</v>
      </c>
      <c r="G12" s="141">
        <f>IF('FE-FxServ-Estabelecimento'!I12=0,0,'FE-Faixa de Servidão'!$C$9*'FE-FxServ-Estabelecimento'!I12)</f>
        <v>0</v>
      </c>
      <c r="H12" s="141">
        <f>IF('FE-FxServ-Estabelecimento'!J12=0,0,'FE-Faixa de Servidão'!$C$10*'FE-FxServ-Estabelecimento'!J12)</f>
        <v>0</v>
      </c>
      <c r="I12" s="141">
        <f>IF('FE-FxServ-Estabelecimento'!K12=0,0,'FE-Faixa de Servidão'!$C$11*'FE-FxServ-Estabelecimento'!K12)</f>
        <v>0</v>
      </c>
      <c r="J12" s="141">
        <f>IF('FE-FxServ-Estabelecimento'!L12=0,0,'FE-Faixa de Servidão'!$C$12*'FE-FxServ-Estabelecimento'!L12)</f>
        <v>0</v>
      </c>
      <c r="K12" s="141">
        <f t="shared" si="0"/>
        <v>0</v>
      </c>
      <c r="L12" s="141">
        <f>IF(K12=0,0,K12+'FE-Faixa de Servidão'!$E$8)</f>
        <v>0</v>
      </c>
      <c r="M12" s="141"/>
      <c r="N12" s="141">
        <f t="shared" si="1"/>
        <v>0</v>
      </c>
      <c r="O12" s="143"/>
    </row>
    <row r="13" spans="1:15" ht="50.1" customHeight="1" x14ac:dyDescent="0.25">
      <c r="A13" s="573"/>
      <c r="B13" s="574" t="s">
        <v>277</v>
      </c>
      <c r="C13" s="559"/>
      <c r="D13" s="557"/>
      <c r="E13" s="141">
        <f>IF('FE-FxServ-Estabelecimento'!G13=0,0,'FE-Faixa de Servidão'!$C$8*'FE-FxServ-Estabelecimento'!G13)</f>
        <v>0</v>
      </c>
      <c r="F13" s="141">
        <f>IF('FE-FxServ-Estabelecimento'!H13=0,0,'FE-Faixa de Servidão'!$C$8*'FE-FxServ-Estabelecimento'!H13)</f>
        <v>0</v>
      </c>
      <c r="G13" s="141">
        <f>IF('FE-FxServ-Estabelecimento'!I13=0,0,'FE-Faixa de Servidão'!$C$9*'FE-FxServ-Estabelecimento'!I13)</f>
        <v>0</v>
      </c>
      <c r="H13" s="141">
        <f>IF('FE-FxServ-Estabelecimento'!J13=0,0,'FE-Faixa de Servidão'!$C$10*'FE-FxServ-Estabelecimento'!J13)</f>
        <v>0</v>
      </c>
      <c r="I13" s="141">
        <f>IF('FE-FxServ-Estabelecimento'!K13=0,0,'FE-Faixa de Servidão'!$C$11*'FE-FxServ-Estabelecimento'!K13)</f>
        <v>0</v>
      </c>
      <c r="J13" s="141">
        <f>IF('FE-FxServ-Estabelecimento'!L13=0,0,'FE-Faixa de Servidão'!$C$12*'FE-FxServ-Estabelecimento'!L13)</f>
        <v>0</v>
      </c>
      <c r="K13" s="141">
        <f t="shared" si="0"/>
        <v>0</v>
      </c>
      <c r="L13" s="141">
        <f>IF(K13=0,0,K13+'FE-Faixa de Servidão'!$E$8)</f>
        <v>0</v>
      </c>
      <c r="M13" s="141"/>
      <c r="N13" s="141">
        <f t="shared" si="1"/>
        <v>0</v>
      </c>
      <c r="O13" s="143"/>
    </row>
    <row r="14" spans="1:15" ht="50.1" customHeight="1" x14ac:dyDescent="0.25">
      <c r="A14" s="574" t="s">
        <v>278</v>
      </c>
      <c r="B14" s="131" t="s">
        <v>279</v>
      </c>
      <c r="C14" s="574" t="s">
        <v>280</v>
      </c>
      <c r="D14" s="557"/>
      <c r="E14" s="141">
        <f>IF('FE-FxServ-Estabelecimento'!G14=0,0,'FE-Faixa de Servidão'!$C$8*'FE-FxServ-Estabelecimento'!G14)</f>
        <v>0</v>
      </c>
      <c r="F14" s="141">
        <f>IF('FE-FxServ-Estabelecimento'!H14=0,0,'FE-Faixa de Servidão'!$C$8*'FE-FxServ-Estabelecimento'!H14)</f>
        <v>0</v>
      </c>
      <c r="G14" s="141">
        <f>IF('FE-FxServ-Estabelecimento'!I14=0,0,'FE-Faixa de Servidão'!$C$9*'FE-FxServ-Estabelecimento'!I14)</f>
        <v>0</v>
      </c>
      <c r="H14" s="141">
        <f>IF('FE-FxServ-Estabelecimento'!J14=0,0,'FE-Faixa de Servidão'!$C$10*'FE-FxServ-Estabelecimento'!J14)</f>
        <v>0</v>
      </c>
      <c r="I14" s="141">
        <f>IF('FE-FxServ-Estabelecimento'!K14=0,0,'FE-Faixa de Servidão'!$C$11*'FE-FxServ-Estabelecimento'!K14)</f>
        <v>0</v>
      </c>
      <c r="J14" s="141">
        <f>IF('FE-FxServ-Estabelecimento'!L14=0,0,'FE-Faixa de Servidão'!$C$12*'FE-FxServ-Estabelecimento'!L14)</f>
        <v>0</v>
      </c>
      <c r="K14" s="141">
        <f t="shared" si="0"/>
        <v>0</v>
      </c>
      <c r="L14" s="141">
        <f>IF(K14=0,0,K14+'FE-Faixa de Servidão'!$E$8)</f>
        <v>0</v>
      </c>
      <c r="M14" s="141"/>
      <c r="N14" s="141">
        <f t="shared" si="1"/>
        <v>0</v>
      </c>
      <c r="O14" s="146">
        <f>SUM(N14:N21)</f>
        <v>483.42485639542707</v>
      </c>
    </row>
    <row r="15" spans="1:15" ht="50.1" customHeight="1" x14ac:dyDescent="0.25">
      <c r="A15" s="572"/>
      <c r="B15" s="574" t="s">
        <v>281</v>
      </c>
      <c r="C15" s="574" t="s">
        <v>282</v>
      </c>
      <c r="D15" s="557"/>
      <c r="E15" s="141">
        <f>IF('FE-FxServ-Estabelecimento'!G15=0,0,'FE-Faixa de Servidão'!$C$8*'FE-FxServ-Estabelecimento'!G15)</f>
        <v>0</v>
      </c>
      <c r="F15" s="141">
        <f>IF('FE-FxServ-Estabelecimento'!H15=0,0,'FE-Faixa de Servidão'!$C$8*'FE-FxServ-Estabelecimento'!H15)</f>
        <v>0</v>
      </c>
      <c r="G15" s="141">
        <f>IF('FE-FxServ-Estabelecimento'!I15=0,0,'FE-Faixa de Servidão'!$C$9*'FE-FxServ-Estabelecimento'!I15)</f>
        <v>0</v>
      </c>
      <c r="H15" s="141">
        <f>IF('FE-FxServ-Estabelecimento'!J15=0,0,'FE-Faixa de Servidão'!$C$10*'FE-FxServ-Estabelecimento'!J15)</f>
        <v>0</v>
      </c>
      <c r="I15" s="141">
        <f>IF('FE-FxServ-Estabelecimento'!K15=0,0,'FE-Faixa de Servidão'!$C$11*'FE-FxServ-Estabelecimento'!K15)</f>
        <v>0</v>
      </c>
      <c r="J15" s="141">
        <f>IF('FE-FxServ-Estabelecimento'!L15=0,0,'FE-Faixa de Servidão'!$C$12*'FE-FxServ-Estabelecimento'!L15)</f>
        <v>0</v>
      </c>
      <c r="K15" s="141">
        <f t="shared" si="0"/>
        <v>0</v>
      </c>
      <c r="L15" s="141">
        <f>IF(K15=0,0,K15+'FE-Faixa de Servidão'!$E$8)</f>
        <v>0</v>
      </c>
      <c r="M15" s="141"/>
      <c r="N15" s="141">
        <f t="shared" si="1"/>
        <v>0</v>
      </c>
      <c r="O15" s="143"/>
    </row>
    <row r="16" spans="1:15" ht="50.1" customHeight="1" x14ac:dyDescent="0.25">
      <c r="A16" s="572"/>
      <c r="B16" s="572"/>
      <c r="C16" s="574" t="s">
        <v>283</v>
      </c>
      <c r="D16" s="557"/>
      <c r="E16" s="141">
        <f>IF('FE-FxServ-Estabelecimento'!G16=0,0,'FE-Faixa de Servidão'!$C$8*'FE-FxServ-Estabelecimento'!G16)</f>
        <v>0</v>
      </c>
      <c r="F16" s="141">
        <f>IF('FE-FxServ-Estabelecimento'!H16=0,0,'FE-Faixa de Servidão'!$C$8*'FE-FxServ-Estabelecimento'!H16)</f>
        <v>0</v>
      </c>
      <c r="G16" s="141">
        <f>IF('FE-FxServ-Estabelecimento'!I16=0,0,'FE-Faixa de Servidão'!$C$9*'FE-FxServ-Estabelecimento'!I16)</f>
        <v>0</v>
      </c>
      <c r="H16" s="141">
        <f>IF('FE-FxServ-Estabelecimento'!J16=0,0,'FE-Faixa de Servidão'!$C$10*'FE-FxServ-Estabelecimento'!J16)</f>
        <v>0</v>
      </c>
      <c r="I16" s="141">
        <f>IF('FE-FxServ-Estabelecimento'!K16=0,0,'FE-Faixa de Servidão'!$C$11*'FE-FxServ-Estabelecimento'!K16)</f>
        <v>0</v>
      </c>
      <c r="J16" s="141">
        <f>IF('FE-FxServ-Estabelecimento'!L16=0,0,'FE-Faixa de Servidão'!$C$12*'FE-FxServ-Estabelecimento'!L16)</f>
        <v>0</v>
      </c>
      <c r="K16" s="141">
        <f t="shared" si="0"/>
        <v>0</v>
      </c>
      <c r="L16" s="141">
        <f>IF(K16=0,0,K16+'FE-Faixa de Servidão'!$E$8)</f>
        <v>0</v>
      </c>
      <c r="M16" s="141"/>
      <c r="N16" s="141">
        <f t="shared" si="1"/>
        <v>0</v>
      </c>
      <c r="O16" s="143"/>
    </row>
    <row r="17" spans="1:15" ht="50.1" customHeight="1" x14ac:dyDescent="0.25">
      <c r="A17" s="572"/>
      <c r="B17" s="573"/>
      <c r="C17" s="574" t="s">
        <v>284</v>
      </c>
      <c r="D17" s="557"/>
      <c r="E17" s="141">
        <f>IF('FE-FxServ-Estabelecimento'!G17=0,0,'FE-Faixa de Servidão'!$C$8*'FE-FxServ-Estabelecimento'!G17)</f>
        <v>0</v>
      </c>
      <c r="F17" s="141">
        <f>IF('FE-FxServ-Estabelecimento'!H17=0,0,'FE-Faixa de Servidão'!$C$8*'FE-FxServ-Estabelecimento'!H17)</f>
        <v>0</v>
      </c>
      <c r="G17" s="141">
        <f>IF('FE-FxServ-Estabelecimento'!I17=0,0,'FE-Faixa de Servidão'!$C$9*'FE-FxServ-Estabelecimento'!I17)</f>
        <v>0</v>
      </c>
      <c r="H17" s="141">
        <f>IF('FE-FxServ-Estabelecimento'!J17=0,0,'FE-Faixa de Servidão'!$C$10*'FE-FxServ-Estabelecimento'!J17)</f>
        <v>0</v>
      </c>
      <c r="I17" s="141">
        <f>IF('FE-FxServ-Estabelecimento'!K17=0,0,'FE-Faixa de Servidão'!$C$11*'FE-FxServ-Estabelecimento'!K17)</f>
        <v>0</v>
      </c>
      <c r="J17" s="141">
        <f>IF('FE-FxServ-Estabelecimento'!L17=0,0,'FE-Faixa de Servidão'!$C$12*'FE-FxServ-Estabelecimento'!L17)</f>
        <v>0</v>
      </c>
      <c r="K17" s="141">
        <f t="shared" si="0"/>
        <v>0</v>
      </c>
      <c r="L17" s="141">
        <f>IF(K17=0,0,K17+'FE-Faixa de Servidão'!$E$8)</f>
        <v>0</v>
      </c>
      <c r="M17" s="141"/>
      <c r="N17" s="141">
        <f t="shared" si="1"/>
        <v>0</v>
      </c>
      <c r="O17" s="143"/>
    </row>
    <row r="18" spans="1:15" ht="50.1" customHeight="1" x14ac:dyDescent="0.25">
      <c r="A18" s="572"/>
      <c r="B18" s="574" t="s">
        <v>285</v>
      </c>
      <c r="C18" s="574" t="s">
        <v>286</v>
      </c>
      <c r="D18" s="557"/>
      <c r="E18" s="141">
        <f>IF('FE-FxServ-Estabelecimento'!G18=0,0,'FE-Faixa de Servidão'!$C$8*'FE-FxServ-Estabelecimento'!G18)</f>
        <v>0</v>
      </c>
      <c r="F18" s="141">
        <f>IF('FE-FxServ-Estabelecimento'!H18=0,0,'FE-Faixa de Servidão'!$C$8*'FE-FxServ-Estabelecimento'!H18)</f>
        <v>0</v>
      </c>
      <c r="G18" s="141">
        <f>IF('FE-FxServ-Estabelecimento'!I18=0,0,'FE-Faixa de Servidão'!$C$9*'FE-FxServ-Estabelecimento'!I18)</f>
        <v>0</v>
      </c>
      <c r="H18" s="141">
        <f>IF('FE-FxServ-Estabelecimento'!J18=0,0,'FE-Faixa de Servidão'!$C$10*'FE-FxServ-Estabelecimento'!J18)</f>
        <v>0</v>
      </c>
      <c r="I18" s="141">
        <f>IF('FE-FxServ-Estabelecimento'!K18=0,0,'FE-Faixa de Servidão'!$C$11*'FE-FxServ-Estabelecimento'!K18)</f>
        <v>0</v>
      </c>
      <c r="J18" s="141">
        <f>IF('FE-FxServ-Estabelecimento'!L18=0,0,'FE-Faixa de Servidão'!$C$12*'FE-FxServ-Estabelecimento'!L18)</f>
        <v>0</v>
      </c>
      <c r="K18" s="141">
        <f t="shared" si="0"/>
        <v>0</v>
      </c>
      <c r="L18" s="141">
        <f>IF(K18=0,0,K18+'FE-Faixa de Servidão'!$E$8)</f>
        <v>0</v>
      </c>
      <c r="M18" s="141"/>
      <c r="N18" s="141">
        <f t="shared" si="1"/>
        <v>0</v>
      </c>
      <c r="O18" s="143"/>
    </row>
    <row r="19" spans="1:15" ht="50.1" customHeight="1" x14ac:dyDescent="0.25">
      <c r="A19" s="572"/>
      <c r="B19" s="572"/>
      <c r="C19" s="574" t="s">
        <v>287</v>
      </c>
      <c r="D19" s="557"/>
      <c r="E19" s="141">
        <f>IF('FE-FxServ-Estabelecimento'!G19=0,0,'FE-Faixa de Servidão'!$C$8*'FE-FxServ-Estabelecimento'!G19)</f>
        <v>0</v>
      </c>
      <c r="F19" s="141">
        <f>IF('FE-FxServ-Estabelecimento'!H19=0,0,'FE-Faixa de Servidão'!$C$8*'FE-FxServ-Estabelecimento'!H19)</f>
        <v>0</v>
      </c>
      <c r="G19" s="141">
        <f>IF('FE-FxServ-Estabelecimento'!I19=0,0,'FE-Faixa de Servidão'!$C$9*'FE-FxServ-Estabelecimento'!I19)</f>
        <v>0</v>
      </c>
      <c r="H19" s="141">
        <f>IF('FE-FxServ-Estabelecimento'!J19=0,0,'FE-Faixa de Servidão'!$C$10*'FE-FxServ-Estabelecimento'!J19)</f>
        <v>0</v>
      </c>
      <c r="I19" s="141">
        <f>IF('FE-FxServ-Estabelecimento'!K19=0,0,'FE-Faixa de Servidão'!$C$11*'FE-FxServ-Estabelecimento'!K19)</f>
        <v>0</v>
      </c>
      <c r="J19" s="141">
        <f>IF('FE-FxServ-Estabelecimento'!L19=0,0,'FE-Faixa de Servidão'!$C$12*'FE-FxServ-Estabelecimento'!L19)</f>
        <v>0</v>
      </c>
      <c r="K19" s="141">
        <f t="shared" si="0"/>
        <v>0</v>
      </c>
      <c r="L19" s="141">
        <f>IF(K19=0,0,K19+'FE-Faixa de Servidão'!$E$8)</f>
        <v>0</v>
      </c>
      <c r="M19" s="141"/>
      <c r="N19" s="141">
        <f t="shared" si="1"/>
        <v>0</v>
      </c>
      <c r="O19" s="143"/>
    </row>
    <row r="20" spans="1:15" ht="50.1" customHeight="1" x14ac:dyDescent="0.25">
      <c r="A20" s="572"/>
      <c r="B20" s="573"/>
      <c r="C20" s="574" t="s">
        <v>55</v>
      </c>
      <c r="D20" s="557"/>
      <c r="E20" s="141">
        <f>IF('FE-FxServ-Estabelecimento'!G20=0,0,'FE-Faixa de Servidão'!$C$8*'FE-FxServ-Estabelecimento'!G20)</f>
        <v>0</v>
      </c>
      <c r="F20" s="141">
        <f>IF('FE-FxServ-Estabelecimento'!H20=0,0,'FE-Faixa de Servidão'!$C$8*'FE-FxServ-Estabelecimento'!H20)</f>
        <v>0</v>
      </c>
      <c r="G20" s="141">
        <f>IF('FE-FxServ-Estabelecimento'!I20=0,0,'FE-Faixa de Servidão'!$C$9*'FE-FxServ-Estabelecimento'!I20)</f>
        <v>12.281422425526275</v>
      </c>
      <c r="H20" s="141">
        <f>IF('FE-FxServ-Estabelecimento'!J20=0,0,'FE-Faixa de Servidão'!$C$10*'FE-FxServ-Estabelecimento'!J20)</f>
        <v>0</v>
      </c>
      <c r="I20" s="141">
        <f>IF('FE-FxServ-Estabelecimento'!K20=0,0,'FE-Faixa de Servidão'!$C$11*'FE-FxServ-Estabelecimento'!K20)</f>
        <v>0</v>
      </c>
      <c r="J20" s="141">
        <f>IF('FE-FxServ-Estabelecimento'!L20=0,0,'FE-Faixa de Servidão'!$C$12*'FE-FxServ-Estabelecimento'!L20)</f>
        <v>0</v>
      </c>
      <c r="K20" s="141">
        <f t="shared" si="0"/>
        <v>12.281422425526275</v>
      </c>
      <c r="L20" s="141">
        <f>IF(K20=0,0,K20+'FE-Faixa de Servidão'!$E$8)</f>
        <v>92.693575356608989</v>
      </c>
      <c r="M20" s="141">
        <f>'Inserção de dados_Linhas'!$D$13</f>
        <v>5.2153005700298429</v>
      </c>
      <c r="N20" s="141">
        <f t="shared" si="1"/>
        <v>483.42485639542707</v>
      </c>
      <c r="O20" s="143"/>
    </row>
    <row r="21" spans="1:15" ht="50.1" customHeight="1" x14ac:dyDescent="0.25">
      <c r="A21" s="573"/>
      <c r="B21" s="574" t="s">
        <v>288</v>
      </c>
      <c r="C21" s="559"/>
      <c r="D21" s="557"/>
      <c r="E21" s="141">
        <f>IF('FE-FxServ-Estabelecimento'!G21=0,0,'FE-Faixa de Servidão'!$C$8*'FE-FxServ-Estabelecimento'!G21)</f>
        <v>0</v>
      </c>
      <c r="F21" s="141">
        <f>IF('FE-FxServ-Estabelecimento'!H21=0,0,'FE-Faixa de Servidão'!$C$8*'FE-FxServ-Estabelecimento'!H21)</f>
        <v>0</v>
      </c>
      <c r="G21" s="141">
        <f>IF('FE-FxServ-Estabelecimento'!I21=0,0,'FE-Faixa de Servidão'!$C$9*'FE-FxServ-Estabelecimento'!I21)</f>
        <v>0</v>
      </c>
      <c r="H21" s="141">
        <f>IF('FE-FxServ-Estabelecimento'!J21=0,0,'FE-Faixa de Servidão'!$C$10*'FE-FxServ-Estabelecimento'!J21)</f>
        <v>0</v>
      </c>
      <c r="I21" s="141">
        <f>IF('FE-FxServ-Estabelecimento'!K21=0,0,'FE-Faixa de Servidão'!$C$11*'FE-FxServ-Estabelecimento'!K21)</f>
        <v>0</v>
      </c>
      <c r="J21" s="141">
        <f>IF('FE-FxServ-Estabelecimento'!L21=0,0,'FE-Faixa de Servidão'!$C$12*'FE-FxServ-Estabelecimento'!L21)</f>
        <v>0</v>
      </c>
      <c r="K21" s="141">
        <f t="shared" si="0"/>
        <v>0</v>
      </c>
      <c r="L21" s="141">
        <f>IF(K21=0,0,K21+'FE-Faixa de Servidão'!$E$8)</f>
        <v>0</v>
      </c>
      <c r="M21" s="141"/>
      <c r="N21" s="141">
        <f t="shared" si="1"/>
        <v>0</v>
      </c>
      <c r="O21" s="143"/>
    </row>
    <row r="22" spans="1:15" ht="50.1" customHeight="1" x14ac:dyDescent="0.25">
      <c r="A22" s="571" t="s">
        <v>289</v>
      </c>
      <c r="B22" s="571" t="s">
        <v>290</v>
      </c>
      <c r="C22" s="571" t="s">
        <v>291</v>
      </c>
      <c r="D22" s="557"/>
      <c r="E22" s="141">
        <f>IF('FE-FxServ-Estabelecimento'!G22=0,0,'FE-Faixa de Servidão'!$C$8*'FE-FxServ-Estabelecimento'!G22)</f>
        <v>0</v>
      </c>
      <c r="F22" s="141">
        <f>IF('FE-FxServ-Estabelecimento'!H22=0,0,'FE-Faixa de Servidão'!$C$8*'FE-FxServ-Estabelecimento'!H22)</f>
        <v>0</v>
      </c>
      <c r="G22" s="141">
        <f>IF('FE-FxServ-Estabelecimento'!I22=0,0,'FE-Faixa de Servidão'!$C$9*'FE-FxServ-Estabelecimento'!I22)</f>
        <v>0</v>
      </c>
      <c r="H22" s="141">
        <f>IF('FE-FxServ-Estabelecimento'!J22=0,0,'FE-Faixa de Servidão'!$C$10*'FE-FxServ-Estabelecimento'!J22)</f>
        <v>0</v>
      </c>
      <c r="I22" s="141">
        <f>IF('FE-FxServ-Estabelecimento'!K22=0,0,'FE-Faixa de Servidão'!$C$11*'FE-FxServ-Estabelecimento'!K22)</f>
        <v>0</v>
      </c>
      <c r="J22" s="141">
        <f>IF('FE-FxServ-Estabelecimento'!L22=0,0,'FE-Faixa de Servidão'!$C$12*'FE-FxServ-Estabelecimento'!L22)</f>
        <v>0</v>
      </c>
      <c r="K22" s="141">
        <f t="shared" si="0"/>
        <v>0</v>
      </c>
      <c r="L22" s="141">
        <f>IF(K22=0,0,K22+'FE-Faixa de Servidão'!$E$8)</f>
        <v>0</v>
      </c>
      <c r="M22" s="141"/>
      <c r="N22" s="141">
        <f t="shared" si="1"/>
        <v>0</v>
      </c>
      <c r="O22" s="146">
        <f>SUM(N22:N23)</f>
        <v>0</v>
      </c>
    </row>
    <row r="23" spans="1:15" ht="50.1" customHeight="1" x14ac:dyDescent="0.25">
      <c r="A23" s="573"/>
      <c r="B23" s="573"/>
      <c r="C23" s="571" t="s">
        <v>56</v>
      </c>
      <c r="D23" s="557"/>
      <c r="E23" s="141">
        <f>IF('FE-FxServ-Estabelecimento'!G23=0,0,'FE-Faixa de Servidão'!$C$8*'FE-FxServ-Estabelecimento'!G23)</f>
        <v>0</v>
      </c>
      <c r="F23" s="141">
        <f>IF('FE-FxServ-Estabelecimento'!H23=0,0,'FE-Faixa de Servidão'!$C$8*'FE-FxServ-Estabelecimento'!H23)</f>
        <v>0</v>
      </c>
      <c r="G23" s="141">
        <f>IF('FE-FxServ-Estabelecimento'!I23=0,0,'FE-Faixa de Servidão'!$C$9*'FE-FxServ-Estabelecimento'!I23)</f>
        <v>0</v>
      </c>
      <c r="H23" s="141">
        <f>IF('FE-FxServ-Estabelecimento'!J23=0,0,'FE-Faixa de Servidão'!$C$10*'FE-FxServ-Estabelecimento'!J23)</f>
        <v>66.700733763629756</v>
      </c>
      <c r="I23" s="141">
        <f>IF('FE-FxServ-Estabelecimento'!K23=0,0,'FE-Faixa de Servidão'!$C$11*'FE-FxServ-Estabelecimento'!K23)</f>
        <v>0</v>
      </c>
      <c r="J23" s="141">
        <f>IF('FE-FxServ-Estabelecimento'!L23=0,0,'FE-Faixa de Servidão'!$C$12*'FE-FxServ-Estabelecimento'!L23)</f>
        <v>0</v>
      </c>
      <c r="K23" s="141">
        <f t="shared" si="0"/>
        <v>66.700733763629756</v>
      </c>
      <c r="L23" s="141">
        <f>IF(K23=0,0,K23+'FE-Faixa de Servidão'!$E$8)</f>
        <v>147.11288669471247</v>
      </c>
      <c r="M23" s="141">
        <f>'Inserção de dados_Linhas'!$E$13</f>
        <v>0</v>
      </c>
      <c r="N23" s="141">
        <f t="shared" si="1"/>
        <v>0</v>
      </c>
      <c r="O23" s="143"/>
    </row>
    <row r="24" spans="1:15" ht="50.1" customHeight="1" x14ac:dyDescent="0.25">
      <c r="A24" s="571" t="s">
        <v>292</v>
      </c>
      <c r="B24" s="571" t="s">
        <v>293</v>
      </c>
      <c r="C24" s="571" t="s">
        <v>294</v>
      </c>
      <c r="D24" s="132" t="s">
        <v>57</v>
      </c>
      <c r="E24" s="141">
        <f>IF('FE-FxServ-Estabelecimento'!G24=0,0,'FE-Faixa de Servidão'!$C$8*'FE-FxServ-Estabelecimento'!G24)</f>
        <v>0</v>
      </c>
      <c r="F24" s="141">
        <f>IF('FE-FxServ-Estabelecimento'!H24=0,0,'FE-Faixa de Servidão'!$C$8*'FE-FxServ-Estabelecimento'!H24)</f>
        <v>0</v>
      </c>
      <c r="G24" s="141">
        <f>IF('FE-FxServ-Estabelecimento'!I24=0,0,'FE-Faixa de Servidão'!$C$9*'FE-FxServ-Estabelecimento'!I24)</f>
        <v>12.281422425526275</v>
      </c>
      <c r="H24" s="141">
        <f>IF('FE-FxServ-Estabelecimento'!J24=0,0,'FE-Faixa de Servidão'!$C$10*'FE-FxServ-Estabelecimento'!J24)</f>
        <v>106.72117402180761</v>
      </c>
      <c r="I24" s="141">
        <f>IF('FE-FxServ-Estabelecimento'!K24=0,0,'FE-Faixa de Servidão'!$C$11*'FE-FxServ-Estabelecimento'!K24)</f>
        <v>0</v>
      </c>
      <c r="J24" s="141">
        <f>IF('FE-FxServ-Estabelecimento'!L24=0,0,'FE-Faixa de Servidão'!$C$12*'FE-FxServ-Estabelecimento'!L24)</f>
        <v>0</v>
      </c>
      <c r="K24" s="141">
        <f t="shared" si="0"/>
        <v>119.00259644733389</v>
      </c>
      <c r="L24" s="141">
        <f>IF(K24=0,0,K24+'FE-Faixa de Servidão'!$E$8)</f>
        <v>199.41474937841662</v>
      </c>
      <c r="M24" s="141">
        <f>'Inserção de dados_Linhas'!$F13</f>
        <v>0</v>
      </c>
      <c r="N24" s="141">
        <f t="shared" si="1"/>
        <v>0</v>
      </c>
      <c r="O24" s="147">
        <f>SUM(N24:N28)</f>
        <v>0</v>
      </c>
    </row>
    <row r="25" spans="1:15" ht="50.1" customHeight="1" x14ac:dyDescent="0.25">
      <c r="A25" s="572"/>
      <c r="B25" s="572"/>
      <c r="C25" s="572"/>
      <c r="D25" s="132" t="s">
        <v>58</v>
      </c>
      <c r="E25" s="141">
        <f>IF('FE-FxServ-Estabelecimento'!G25=0,0,'FE-Faixa de Servidão'!$C$8*'FE-FxServ-Estabelecimento'!G25)</f>
        <v>0</v>
      </c>
      <c r="F25" s="141">
        <f>IF('FE-FxServ-Estabelecimento'!H25=0,0,'FE-Faixa de Servidão'!$C$8*'FE-FxServ-Estabelecimento'!H25)</f>
        <v>0</v>
      </c>
      <c r="G25" s="141">
        <f>IF('FE-FxServ-Estabelecimento'!I25=0,0,'FE-Faixa de Servidão'!$C$9*'FE-FxServ-Estabelecimento'!I25)</f>
        <v>12.281422425526275</v>
      </c>
      <c r="H25" s="141">
        <f>IF('FE-FxServ-Estabelecimento'!J25=0,0,'FE-Faixa de Servidão'!$C$10*'FE-FxServ-Estabelecimento'!J25)</f>
        <v>106.72117402180761</v>
      </c>
      <c r="I25" s="141">
        <f>IF('FE-FxServ-Estabelecimento'!K25=0,0,'FE-Faixa de Servidão'!$C$11*'FE-FxServ-Estabelecimento'!K25)</f>
        <v>0</v>
      </c>
      <c r="J25" s="141">
        <f>IF('FE-FxServ-Estabelecimento'!L25=0,0,'FE-Faixa de Servidão'!$C$12*'FE-FxServ-Estabelecimento'!L25)</f>
        <v>0</v>
      </c>
      <c r="K25" s="141">
        <f t="shared" si="0"/>
        <v>119.00259644733389</v>
      </c>
      <c r="L25" s="141">
        <f>IF(K25=0,0,K25+'FE-Faixa de Servidão'!$E$8)</f>
        <v>199.41474937841662</v>
      </c>
      <c r="M25" s="141">
        <f>'Inserção de dados_Linhas'!$G$13</f>
        <v>0</v>
      </c>
      <c r="N25" s="141">
        <f t="shared" si="1"/>
        <v>0</v>
      </c>
      <c r="O25" s="144"/>
    </row>
    <row r="26" spans="1:15" ht="50.1" customHeight="1" x14ac:dyDescent="0.25">
      <c r="A26" s="572"/>
      <c r="B26" s="572"/>
      <c r="C26" s="572"/>
      <c r="D26" s="132" t="s">
        <v>59</v>
      </c>
      <c r="E26" s="141">
        <f>IF('FE-FxServ-Estabelecimento'!G26=0,0,'FE-Faixa de Servidão'!$C$8*'FE-FxServ-Estabelecimento'!G26)</f>
        <v>0</v>
      </c>
      <c r="F26" s="141">
        <f>IF('FE-FxServ-Estabelecimento'!H26=0,0,'FE-Faixa de Servidão'!$C$8*'FE-FxServ-Estabelecimento'!H26)</f>
        <v>0</v>
      </c>
      <c r="G26" s="141">
        <f>IF('FE-FxServ-Estabelecimento'!I26=0,0,'FE-Faixa de Servidão'!$C$9*'FE-FxServ-Estabelecimento'!I26)</f>
        <v>12.281422425526275</v>
      </c>
      <c r="H26" s="141">
        <f>IF('FE-FxServ-Estabelecimento'!J26=0,0,'FE-Faixa de Servidão'!$C$10*'FE-FxServ-Estabelecimento'!J26)</f>
        <v>106.72117402180761</v>
      </c>
      <c r="I26" s="141">
        <f>IF('FE-FxServ-Estabelecimento'!K26=0,0,'FE-Faixa de Servidão'!$C$11*'FE-FxServ-Estabelecimento'!K26)</f>
        <v>0</v>
      </c>
      <c r="J26" s="141">
        <f>IF('FE-FxServ-Estabelecimento'!L26=0,0,'FE-Faixa de Servidão'!$C$12*'FE-FxServ-Estabelecimento'!L26)</f>
        <v>0</v>
      </c>
      <c r="K26" s="141">
        <f t="shared" si="0"/>
        <v>119.00259644733389</v>
      </c>
      <c r="L26" s="141">
        <f>IF(K26=0,0,K26+'FE-Faixa de Servidão'!$E$8)</f>
        <v>199.41474937841662</v>
      </c>
      <c r="M26" s="141">
        <f>'Inserção de dados_Linhas'!$H$13</f>
        <v>0</v>
      </c>
      <c r="N26" s="141">
        <f t="shared" si="1"/>
        <v>0</v>
      </c>
      <c r="O26" s="144"/>
    </row>
    <row r="27" spans="1:15" ht="50.1" customHeight="1" x14ac:dyDescent="0.25">
      <c r="A27" s="572"/>
      <c r="B27" s="572"/>
      <c r="C27" s="572"/>
      <c r="D27" s="132" t="s">
        <v>60</v>
      </c>
      <c r="E27" s="141">
        <f>IF('FE-FxServ-Estabelecimento'!G27=0,0,'FE-Faixa de Servidão'!$C$8*'FE-FxServ-Estabelecimento'!G27)</f>
        <v>0</v>
      </c>
      <c r="F27" s="141">
        <f>IF('FE-FxServ-Estabelecimento'!H27=0,0,'FE-Faixa de Servidão'!$C$8*'FE-FxServ-Estabelecimento'!H27)</f>
        <v>0</v>
      </c>
      <c r="G27" s="141">
        <f>IF('FE-FxServ-Estabelecimento'!I27=0,0,'FE-Faixa de Servidão'!$C$9*'FE-FxServ-Estabelecimento'!I27)</f>
        <v>12.281422425526275</v>
      </c>
      <c r="H27" s="141">
        <f>IF('FE-FxServ-Estabelecimento'!J27=0,0,'FE-Faixa de Servidão'!$C$10*'FE-FxServ-Estabelecimento'!J27)</f>
        <v>106.72117402180761</v>
      </c>
      <c r="I27" s="141">
        <f>IF('FE-FxServ-Estabelecimento'!K27=0,0,'FE-Faixa de Servidão'!$C$11*'FE-FxServ-Estabelecimento'!K27)</f>
        <v>0</v>
      </c>
      <c r="J27" s="141">
        <f>IF('FE-FxServ-Estabelecimento'!L27=0,0,'FE-Faixa de Servidão'!$C$12*'FE-FxServ-Estabelecimento'!L27)</f>
        <v>0</v>
      </c>
      <c r="K27" s="141">
        <f t="shared" si="0"/>
        <v>119.00259644733389</v>
      </c>
      <c r="L27" s="141">
        <f>IF(K27=0,0,K27+'FE-Faixa de Servidão'!$E$8)</f>
        <v>199.41474937841662</v>
      </c>
      <c r="M27" s="141">
        <f>'Inserção de dados_Linhas'!I$13</f>
        <v>0</v>
      </c>
      <c r="N27" s="141">
        <f t="shared" si="1"/>
        <v>0</v>
      </c>
      <c r="O27" s="144"/>
    </row>
    <row r="28" spans="1:15" ht="50.1" customHeight="1" x14ac:dyDescent="0.25">
      <c r="A28" s="573"/>
      <c r="B28" s="573"/>
      <c r="C28" s="573"/>
      <c r="D28" s="132" t="s">
        <v>61</v>
      </c>
      <c r="E28" s="141">
        <f>IF('FE-FxServ-Estabelecimento'!G28=0,0,'FE-Faixa de Servidão'!$C$8*'FE-FxServ-Estabelecimento'!G28)</f>
        <v>0</v>
      </c>
      <c r="F28" s="141">
        <f>IF('FE-FxServ-Estabelecimento'!H28=0,0,'FE-Faixa de Servidão'!$C$8*'FE-FxServ-Estabelecimento'!H28)</f>
        <v>0</v>
      </c>
      <c r="G28" s="141">
        <f>IF('FE-FxServ-Estabelecimento'!I28=0,0,'FE-Faixa de Servidão'!$C$9*'FE-FxServ-Estabelecimento'!I28)</f>
        <v>12.281422425526275</v>
      </c>
      <c r="H28" s="141">
        <f>IF('FE-FxServ-Estabelecimento'!J28=0,0,'FE-Faixa de Servidão'!$C$10*'FE-FxServ-Estabelecimento'!J28)</f>
        <v>106.72117402180761</v>
      </c>
      <c r="I28" s="141">
        <f>IF('FE-FxServ-Estabelecimento'!K28=0,0,'FE-Faixa de Servidão'!$C$11*'FE-FxServ-Estabelecimento'!K28)</f>
        <v>0</v>
      </c>
      <c r="J28" s="141">
        <f>IF('FE-FxServ-Estabelecimento'!L28=0,0,'FE-Faixa de Servidão'!$C$12*'FE-FxServ-Estabelecimento'!L28)</f>
        <v>0</v>
      </c>
      <c r="K28" s="141">
        <f t="shared" si="0"/>
        <v>119.00259644733389</v>
      </c>
      <c r="L28" s="141">
        <f>IF(K28=0,0,K28+'FE-Faixa de Servidão'!$E$8)</f>
        <v>199.41474937841662</v>
      </c>
      <c r="M28" s="141">
        <f>'Inserção de dados_Linhas'!J$13</f>
        <v>0</v>
      </c>
      <c r="N28" s="141">
        <f t="shared" si="1"/>
        <v>0</v>
      </c>
      <c r="O28" s="145"/>
    </row>
    <row r="29" spans="1:15" ht="50.1" customHeight="1" x14ac:dyDescent="0.25">
      <c r="A29" s="571" t="s">
        <v>295</v>
      </c>
      <c r="B29" s="571" t="s">
        <v>296</v>
      </c>
      <c r="C29" s="571" t="s">
        <v>297</v>
      </c>
      <c r="D29" s="132" t="s">
        <v>62</v>
      </c>
      <c r="E29" s="141">
        <f>IF('FE-FxServ-Estabelecimento'!G29=0,0,'FE-Faixa de Servidão'!$C$8*'FE-FxServ-Estabelecimento'!G29)</f>
        <v>0</v>
      </c>
      <c r="F29" s="141">
        <f>IF('FE-FxServ-Estabelecimento'!H29=0,0,'FE-Faixa de Servidão'!$C$8*'FE-FxServ-Estabelecimento'!H29)</f>
        <v>108.6705023802603</v>
      </c>
      <c r="G29" s="141">
        <f>IF('FE-FxServ-Estabelecimento'!I29=0,0,'FE-Faixa de Servidão'!$C$9*'FE-FxServ-Estabelecimento'!I29)</f>
        <v>0</v>
      </c>
      <c r="H29" s="141">
        <f>IF('FE-FxServ-Estabelecimento'!J29=0,0,'FE-Faixa de Servidão'!$C$10*'FE-FxServ-Estabelecimento'!J29)</f>
        <v>133.40146752725951</v>
      </c>
      <c r="I29" s="141">
        <f>IF('FE-FxServ-Estabelecimento'!K29=0,0,'FE-Faixa de Servidão'!$C$11*'FE-FxServ-Estabelecimento'!K29)</f>
        <v>0</v>
      </c>
      <c r="J29" s="141">
        <f>IF('FE-FxServ-Estabelecimento'!L29=0,0,'FE-Faixa de Servidão'!$C$12*'FE-FxServ-Estabelecimento'!L29)</f>
        <v>0</v>
      </c>
      <c r="K29" s="141">
        <f t="shared" si="0"/>
        <v>242.07196990751982</v>
      </c>
      <c r="L29" s="141">
        <f>IF(K29=0,0,K29+'FE-Faixa de Servidão'!$E$8)</f>
        <v>322.4841228386025</v>
      </c>
      <c r="M29" s="141">
        <f>'Inserção de dados_Linhas'!K$13</f>
        <v>9.8867444520808192</v>
      </c>
      <c r="N29" s="141">
        <f t="shared" si="1"/>
        <v>3188.3181123587028</v>
      </c>
      <c r="O29" s="146">
        <f>SUM(N29:N38)</f>
        <v>614265.56052078039</v>
      </c>
    </row>
    <row r="30" spans="1:15" ht="50.1" customHeight="1" x14ac:dyDescent="0.25">
      <c r="A30" s="572"/>
      <c r="B30" s="572"/>
      <c r="C30" s="572"/>
      <c r="D30" s="132" t="s">
        <v>63</v>
      </c>
      <c r="E30" s="141">
        <f>IF('FE-FxServ-Estabelecimento'!G30=0,0,'FE-Faixa de Servidão'!$C$8*'FE-FxServ-Estabelecimento'!G30)</f>
        <v>0</v>
      </c>
      <c r="F30" s="141">
        <f>IF('FE-FxServ-Estabelecimento'!H30=0,0,'FE-Faixa de Servidão'!$C$8*'FE-FxServ-Estabelecimento'!H30)</f>
        <v>108.6705023802603</v>
      </c>
      <c r="G30" s="141">
        <f>IF('FE-FxServ-Estabelecimento'!I30=0,0,'FE-Faixa de Servidão'!$C$9*'FE-FxServ-Estabelecimento'!I30)</f>
        <v>0</v>
      </c>
      <c r="H30" s="141">
        <f>IF('FE-FxServ-Estabelecimento'!J30=0,0,'FE-Faixa de Servidão'!$C$10*'FE-FxServ-Estabelecimento'!J30)</f>
        <v>133.40146752725951</v>
      </c>
      <c r="I30" s="141">
        <f>IF('FE-FxServ-Estabelecimento'!K30=0,0,'FE-Faixa de Servidão'!$C$11*'FE-FxServ-Estabelecimento'!K30)</f>
        <v>0</v>
      </c>
      <c r="J30" s="141">
        <f>IF('FE-FxServ-Estabelecimento'!L30=0,0,'FE-Faixa de Servidão'!$C$12*'FE-FxServ-Estabelecimento'!L30)</f>
        <v>0</v>
      </c>
      <c r="K30" s="141">
        <f t="shared" si="0"/>
        <v>242.07196990751982</v>
      </c>
      <c r="L30" s="141">
        <f>IF(K30=0,0,K30+'FE-Faixa de Servidão'!$E$8)</f>
        <v>322.4841228386025</v>
      </c>
      <c r="M30" s="141">
        <f>'Inserção de dados_Linhas'!L$13</f>
        <v>0</v>
      </c>
      <c r="N30" s="141">
        <f t="shared" si="1"/>
        <v>0</v>
      </c>
      <c r="O30" s="143"/>
    </row>
    <row r="31" spans="1:15" ht="50.1" customHeight="1" x14ac:dyDescent="0.25">
      <c r="A31" s="572"/>
      <c r="B31" s="572"/>
      <c r="C31" s="572"/>
      <c r="D31" s="132" t="s">
        <v>64</v>
      </c>
      <c r="E31" s="141">
        <f>IF('FE-FxServ-Estabelecimento'!G31=0,0,'FE-Faixa de Servidão'!$C$8*'FE-FxServ-Estabelecimento'!G31)</f>
        <v>0</v>
      </c>
      <c r="F31" s="141">
        <f>IF('FE-FxServ-Estabelecimento'!H31=0,0,'FE-Faixa de Servidão'!$C$8*'FE-FxServ-Estabelecimento'!H31)</f>
        <v>108.6705023802603</v>
      </c>
      <c r="G31" s="141">
        <f>IF('FE-FxServ-Estabelecimento'!I31=0,0,'FE-Faixa de Servidão'!$C$9*'FE-FxServ-Estabelecimento'!I31)</f>
        <v>0</v>
      </c>
      <c r="H31" s="141">
        <f>IF('FE-FxServ-Estabelecimento'!J31=0,0,'FE-Faixa de Servidão'!$C$10*'FE-FxServ-Estabelecimento'!J31)</f>
        <v>133.40146752725951</v>
      </c>
      <c r="I31" s="141">
        <f>IF('FE-FxServ-Estabelecimento'!K31=0,0,'FE-Faixa de Servidão'!$C$11*'FE-FxServ-Estabelecimento'!K31)</f>
        <v>0</v>
      </c>
      <c r="J31" s="141">
        <f>IF('FE-FxServ-Estabelecimento'!L31=0,0,'FE-Faixa de Servidão'!$C$12*'FE-FxServ-Estabelecimento'!L31)</f>
        <v>0</v>
      </c>
      <c r="K31" s="141">
        <f t="shared" si="0"/>
        <v>242.07196990751982</v>
      </c>
      <c r="L31" s="141">
        <f>IF(K31=0,0,K31+'FE-Faixa de Servidão'!$E$8)</f>
        <v>322.4841228386025</v>
      </c>
      <c r="M31" s="141">
        <f>'Inserção de dados_Linhas'!M$13</f>
        <v>0.14314824677748594</v>
      </c>
      <c r="N31" s="141">
        <f t="shared" si="1"/>
        <v>46.163036797921364</v>
      </c>
      <c r="O31" s="143"/>
    </row>
    <row r="32" spans="1:15" ht="50.1" customHeight="1" x14ac:dyDescent="0.25">
      <c r="A32" s="572"/>
      <c r="B32" s="572"/>
      <c r="C32" s="572"/>
      <c r="D32" s="132" t="s">
        <v>65</v>
      </c>
      <c r="E32" s="141">
        <f>IF('FE-FxServ-Estabelecimento'!G32=0,0,'FE-Faixa de Servidão'!$C$8*'FE-FxServ-Estabelecimento'!G32)</f>
        <v>0</v>
      </c>
      <c r="F32" s="141">
        <f>IF('FE-FxServ-Estabelecimento'!H32=0,0,'FE-Faixa de Servidão'!$C$8*'FE-FxServ-Estabelecimento'!H32)</f>
        <v>108.6705023802603</v>
      </c>
      <c r="G32" s="141">
        <f>IF('FE-FxServ-Estabelecimento'!I32=0,0,'FE-Faixa de Servidão'!$C$9*'FE-FxServ-Estabelecimento'!I32)</f>
        <v>0</v>
      </c>
      <c r="H32" s="141">
        <f>IF('FE-FxServ-Estabelecimento'!J32=0,0,'FE-Faixa de Servidão'!$C$10*'FE-FxServ-Estabelecimento'!J32)</f>
        <v>133.40146752725951</v>
      </c>
      <c r="I32" s="141">
        <f>IF('FE-FxServ-Estabelecimento'!K32=0,0,'FE-Faixa de Servidão'!$C$11*'FE-FxServ-Estabelecimento'!K32)</f>
        <v>0</v>
      </c>
      <c r="J32" s="141">
        <f>IF('FE-FxServ-Estabelecimento'!L32=0,0,'FE-Faixa de Servidão'!$C$12*'FE-FxServ-Estabelecimento'!L32)</f>
        <v>0</v>
      </c>
      <c r="K32" s="141">
        <f t="shared" si="0"/>
        <v>242.07196990751982</v>
      </c>
      <c r="L32" s="141">
        <f>IF(K32=0,0,K32+'FE-Faixa de Servidão'!$E$8)</f>
        <v>322.4841228386025</v>
      </c>
      <c r="M32" s="141">
        <f>'Inserção de dados_Linhas'!N$13</f>
        <v>0.9728759949365261</v>
      </c>
      <c r="N32" s="141">
        <f t="shared" si="1"/>
        <v>313.73706185783828</v>
      </c>
      <c r="O32" s="143"/>
    </row>
    <row r="33" spans="1:15" ht="50.1" customHeight="1" x14ac:dyDescent="0.25">
      <c r="A33" s="572"/>
      <c r="B33" s="572"/>
      <c r="C33" s="572"/>
      <c r="D33" s="132" t="s">
        <v>66</v>
      </c>
      <c r="E33" s="141">
        <f>IF('FE-FxServ-Estabelecimento'!G33=0,0,'FE-Faixa de Servidão'!$C$8*'FE-FxServ-Estabelecimento'!G33)</f>
        <v>108.6705023802603</v>
      </c>
      <c r="F33" s="141">
        <f>IF('FE-FxServ-Estabelecimento'!H33=0,0,'FE-Faixa de Servidão'!$C$8*'FE-FxServ-Estabelecimento'!H33)</f>
        <v>0</v>
      </c>
      <c r="G33" s="141">
        <f>IF('FE-FxServ-Estabelecimento'!I33=0,0,'FE-Faixa de Servidão'!$C$9*'FE-FxServ-Estabelecimento'!I33)</f>
        <v>0</v>
      </c>
      <c r="H33" s="141">
        <f>IF('FE-FxServ-Estabelecimento'!J33=0,0,'FE-Faixa de Servidão'!$C$10*'FE-FxServ-Estabelecimento'!J33)</f>
        <v>133.40146752725951</v>
      </c>
      <c r="I33" s="141">
        <f>IF('FE-FxServ-Estabelecimento'!K33=0,0,'FE-Faixa de Servidão'!$C$11*'FE-FxServ-Estabelecimento'!K33)</f>
        <v>487.82137682230518</v>
      </c>
      <c r="J33" s="141">
        <f>IF('FE-FxServ-Estabelecimento'!L33=0,0,'FE-Faixa de Servidão'!$C$12*'FE-FxServ-Estabelecimento'!L33)</f>
        <v>455.69667594794208</v>
      </c>
      <c r="K33" s="141">
        <f t="shared" si="0"/>
        <v>1185.5900226777671</v>
      </c>
      <c r="L33" s="141">
        <f>IF(K33=0,0,K33+'FE-Faixa de Servidão'!$E$8)</f>
        <v>1266.0021756088499</v>
      </c>
      <c r="M33" s="141">
        <f>'Inserção de dados_Linhas'!O$13</f>
        <v>379.15027458980245</v>
      </c>
      <c r="N33" s="141">
        <f t="shared" si="1"/>
        <v>480005.07251338277</v>
      </c>
      <c r="O33" s="143"/>
    </row>
    <row r="34" spans="1:15" ht="50.1" customHeight="1" x14ac:dyDescent="0.25">
      <c r="A34" s="572"/>
      <c r="B34" s="572"/>
      <c r="C34" s="572"/>
      <c r="D34" s="132" t="s">
        <v>67</v>
      </c>
      <c r="E34" s="141">
        <f>IF('FE-FxServ-Estabelecimento'!G34=0,0,'FE-Faixa de Servidão'!$C$8*'FE-FxServ-Estabelecimento'!G34)</f>
        <v>108.6705023802603</v>
      </c>
      <c r="F34" s="141">
        <f>IF('FE-FxServ-Estabelecimento'!H34=0,0,'FE-Faixa de Servidão'!$C$8*'FE-FxServ-Estabelecimento'!H34)</f>
        <v>0</v>
      </c>
      <c r="G34" s="141">
        <f>IF('FE-FxServ-Estabelecimento'!I34=0,0,'FE-Faixa de Servidão'!$C$9*'FE-FxServ-Estabelecimento'!I34)</f>
        <v>0</v>
      </c>
      <c r="H34" s="141">
        <f>IF('FE-FxServ-Estabelecimento'!J34=0,0,'FE-Faixa de Servidão'!$C$10*'FE-FxServ-Estabelecimento'!J34)</f>
        <v>133.40146752725951</v>
      </c>
      <c r="I34" s="141">
        <f>IF('FE-FxServ-Estabelecimento'!K34=0,0,'FE-Faixa de Servidão'!$C$11*'FE-FxServ-Estabelecimento'!K34)</f>
        <v>487.82137682230518</v>
      </c>
      <c r="J34" s="141">
        <f>IF('FE-FxServ-Estabelecimento'!L34=0,0,'FE-Faixa de Servidão'!$C$12*'FE-FxServ-Estabelecimento'!L34)</f>
        <v>455.69667594794208</v>
      </c>
      <c r="K34" s="141">
        <f t="shared" si="0"/>
        <v>1185.5900226777671</v>
      </c>
      <c r="L34" s="141">
        <f>IF(K34=0,0,K34+'FE-Faixa de Servidão'!$E$8)</f>
        <v>1266.0021756088499</v>
      </c>
      <c r="M34" s="141">
        <f>'Inserção de dados_Linhas'!P$13</f>
        <v>1.8583519620830571</v>
      </c>
      <c r="N34" s="141">
        <f t="shared" si="1"/>
        <v>2352.6776270441251</v>
      </c>
      <c r="O34" s="143"/>
    </row>
    <row r="35" spans="1:15" ht="50.1" customHeight="1" x14ac:dyDescent="0.25">
      <c r="A35" s="572"/>
      <c r="B35" s="572"/>
      <c r="C35" s="573"/>
      <c r="D35" s="132" t="s">
        <v>68</v>
      </c>
      <c r="E35" s="141">
        <f>IF('FE-FxServ-Estabelecimento'!G35=0,0,'FE-Faixa de Servidão'!$C$8*'FE-FxServ-Estabelecimento'!G35)</f>
        <v>0</v>
      </c>
      <c r="F35" s="141">
        <f>IF('FE-FxServ-Estabelecimento'!H35=0,0,'FE-Faixa de Servidão'!$C$8*'FE-FxServ-Estabelecimento'!H35)</f>
        <v>108.6705023802603</v>
      </c>
      <c r="G35" s="141">
        <f>IF('FE-FxServ-Estabelecimento'!I35=0,0,'FE-Faixa de Servidão'!$C$9*'FE-FxServ-Estabelecimento'!I35)</f>
        <v>0</v>
      </c>
      <c r="H35" s="141">
        <f>IF('FE-FxServ-Estabelecimento'!J35=0,0,'FE-Faixa de Servidão'!$C$10*'FE-FxServ-Estabelecimento'!J35)</f>
        <v>133.40146752725951</v>
      </c>
      <c r="I35" s="141">
        <f>IF('FE-FxServ-Estabelecimento'!K35=0,0,'FE-Faixa de Servidão'!$C$11*'FE-FxServ-Estabelecimento'!K35)</f>
        <v>0</v>
      </c>
      <c r="J35" s="141">
        <f>IF('FE-FxServ-Estabelecimento'!L35=0,0,'FE-Faixa de Servidão'!$C$12*'FE-FxServ-Estabelecimento'!L35)</f>
        <v>0</v>
      </c>
      <c r="K35" s="141">
        <f t="shared" si="0"/>
        <v>242.07196990751982</v>
      </c>
      <c r="L35" s="141">
        <f>IF(K35=0,0,K35+'FE-Faixa de Servidão'!$E$8)</f>
        <v>322.4841228386025</v>
      </c>
      <c r="M35" s="141">
        <f>'Inserção de dados_Linhas'!Q$13</f>
        <v>29.237942494689435</v>
      </c>
      <c r="N35" s="141">
        <f t="shared" si="1"/>
        <v>9428.7722390054241</v>
      </c>
      <c r="O35" s="143"/>
    </row>
    <row r="36" spans="1:15" ht="50.1" customHeight="1" x14ac:dyDescent="0.25">
      <c r="A36" s="572"/>
      <c r="B36" s="572"/>
      <c r="C36" s="571" t="s">
        <v>298</v>
      </c>
      <c r="D36" s="132" t="s">
        <v>69</v>
      </c>
      <c r="E36" s="141">
        <f>IF('FE-FxServ-Estabelecimento'!G36=0,0,'FE-Faixa de Servidão'!$C$8*'FE-FxServ-Estabelecimento'!G36)</f>
        <v>108.6705023802603</v>
      </c>
      <c r="F36" s="141">
        <f>IF('FE-FxServ-Estabelecimento'!H36=0,0,'FE-Faixa de Servidão'!$C$8*'FE-FxServ-Estabelecimento'!H36)</f>
        <v>0</v>
      </c>
      <c r="G36" s="141">
        <f>IF('FE-FxServ-Estabelecimento'!I36=0,0,'FE-Faixa de Servidão'!$C$9*'FE-FxServ-Estabelecimento'!I36)</f>
        <v>0</v>
      </c>
      <c r="H36" s="141">
        <f>IF('FE-FxServ-Estabelecimento'!J36=0,0,'FE-Faixa de Servidão'!$C$10*'FE-FxServ-Estabelecimento'!J36)</f>
        <v>133.40146752725951</v>
      </c>
      <c r="I36" s="141">
        <f>IF('FE-FxServ-Estabelecimento'!K36=0,0,'FE-Faixa de Servidão'!$C$11*'FE-FxServ-Estabelecimento'!K36)</f>
        <v>0</v>
      </c>
      <c r="J36" s="141">
        <f>IF('FE-FxServ-Estabelecimento'!L36=0,0,'FE-Faixa de Servidão'!$C$12*'FE-FxServ-Estabelecimento'!L36)</f>
        <v>455.69667594794208</v>
      </c>
      <c r="K36" s="141">
        <f t="shared" si="0"/>
        <v>697.76864585546195</v>
      </c>
      <c r="L36" s="141">
        <f>IF(K36=0,0,K36+'FE-Faixa de Servidão'!$E$8)</f>
        <v>778.18079878654464</v>
      </c>
      <c r="M36" s="141">
        <f>'Inserção de dados_Linhas'!R$13</f>
        <v>152.83186133066798</v>
      </c>
      <c r="N36" s="141">
        <f t="shared" si="1"/>
        <v>118930.81993033363</v>
      </c>
      <c r="O36" s="143"/>
    </row>
    <row r="37" spans="1:15" ht="50.1" customHeight="1" x14ac:dyDescent="0.25">
      <c r="A37" s="572"/>
      <c r="B37" s="572"/>
      <c r="C37" s="572"/>
      <c r="D37" s="132" t="s">
        <v>70</v>
      </c>
      <c r="E37" s="141">
        <f>IF('FE-FxServ-Estabelecimento'!G37=0,0,'FE-Faixa de Servidão'!$C$8*'FE-FxServ-Estabelecimento'!G37)</f>
        <v>0</v>
      </c>
      <c r="F37" s="141">
        <f>IF('FE-FxServ-Estabelecimento'!H37=0,0,'FE-Faixa de Servidão'!$C$8*'FE-FxServ-Estabelecimento'!H37)</f>
        <v>108.6705023802603</v>
      </c>
      <c r="G37" s="141">
        <f>IF('FE-FxServ-Estabelecimento'!I37=0,0,'FE-Faixa de Servidão'!$C$9*'FE-FxServ-Estabelecimento'!I37)</f>
        <v>0</v>
      </c>
      <c r="H37" s="141">
        <f>IF('FE-FxServ-Estabelecimento'!J37=0,0,'FE-Faixa de Servidão'!$C$10*'FE-FxServ-Estabelecimento'!J37)</f>
        <v>133.40146752725951</v>
      </c>
      <c r="I37" s="141">
        <f>IF('FE-FxServ-Estabelecimento'!K37=0,0,'FE-Faixa de Servidão'!$C$11*'FE-FxServ-Estabelecimento'!K37)</f>
        <v>0</v>
      </c>
      <c r="J37" s="141">
        <f>IF('FE-FxServ-Estabelecimento'!L37=0,0,'FE-Faixa de Servidão'!$C$12*'FE-FxServ-Estabelecimento'!L37)</f>
        <v>0</v>
      </c>
      <c r="K37" s="141">
        <f t="shared" si="0"/>
        <v>242.07196990751982</v>
      </c>
      <c r="L37" s="141">
        <f>IF(K37=0,0,K37+'FE-Faixa de Servidão'!$E$8)</f>
        <v>322.4841228386025</v>
      </c>
      <c r="M37" s="141">
        <f>'Inserção de dados_Linhas'!S$13</f>
        <v>0</v>
      </c>
      <c r="N37" s="141">
        <f t="shared" si="1"/>
        <v>0</v>
      </c>
      <c r="O37" s="143"/>
    </row>
    <row r="38" spans="1:15" ht="50.1" customHeight="1" x14ac:dyDescent="0.25">
      <c r="A38" s="573"/>
      <c r="B38" s="573"/>
      <c r="C38" s="573"/>
      <c r="D38" s="132" t="s">
        <v>71</v>
      </c>
      <c r="E38" s="141">
        <f>IF('FE-FxServ-Estabelecimento'!G38=0,0,'FE-Faixa de Servidão'!$C$8*'FE-FxServ-Estabelecimento'!G38)</f>
        <v>0</v>
      </c>
      <c r="F38" s="141">
        <f>IF('FE-FxServ-Estabelecimento'!H38=0,0,'FE-Faixa de Servidão'!$C$8*'FE-FxServ-Estabelecimento'!H38)</f>
        <v>108.6705023802603</v>
      </c>
      <c r="G38" s="141">
        <f>IF('FE-FxServ-Estabelecimento'!I38=0,0,'FE-Faixa de Servidão'!$C$9*'FE-FxServ-Estabelecimento'!I38)</f>
        <v>0</v>
      </c>
      <c r="H38" s="141">
        <f>IF('FE-FxServ-Estabelecimento'!J38=0,0,'FE-Faixa de Servidão'!$C$10*'FE-FxServ-Estabelecimento'!J38)</f>
        <v>133.40146752725951</v>
      </c>
      <c r="I38" s="141">
        <f>IF('FE-FxServ-Estabelecimento'!K38=0,0,'FE-Faixa de Servidão'!$C$11*'FE-FxServ-Estabelecimento'!K38)</f>
        <v>0</v>
      </c>
      <c r="J38" s="141">
        <f>IF('FE-FxServ-Estabelecimento'!L38=0,0,'FE-Faixa de Servidão'!$C$12*'FE-FxServ-Estabelecimento'!L38)</f>
        <v>455.69667594794208</v>
      </c>
      <c r="K38" s="141">
        <f t="shared" si="0"/>
        <v>697.76864585546195</v>
      </c>
      <c r="L38" s="141">
        <f>IF(K38=0,0,K38+'FE-Faixa de Servidão'!$E$8)</f>
        <v>778.18079878654464</v>
      </c>
      <c r="M38" s="141">
        <f>'Inserção de dados_Linhas'!T$13</f>
        <v>0</v>
      </c>
      <c r="N38" s="141">
        <f t="shared" si="1"/>
        <v>0</v>
      </c>
      <c r="O38" s="143"/>
    </row>
    <row r="39" spans="1:15" ht="50.1" customHeight="1" x14ac:dyDescent="0.25">
      <c r="A39" s="571" t="s">
        <v>72</v>
      </c>
      <c r="B39" s="559"/>
      <c r="C39" s="559"/>
      <c r="D39" s="557"/>
      <c r="E39" s="141">
        <f>IF('FE-FxServ-Estabelecimento'!G39=0,0,'FE-Faixa de Servidão'!$C$8*'FE-FxServ-Estabelecimento'!G39)</f>
        <v>0</v>
      </c>
      <c r="F39" s="141">
        <f>IF('FE-FxServ-Estabelecimento'!H39=0,0,'FE-Faixa de Servidão'!$C$8*'FE-FxServ-Estabelecimento'!H39)</f>
        <v>0</v>
      </c>
      <c r="G39" s="141">
        <f>IF('FE-FxServ-Estabelecimento'!I39=0,0,'FE-Faixa de Servidão'!$C$9*'FE-FxServ-Estabelecimento'!I39)</f>
        <v>0</v>
      </c>
      <c r="H39" s="141">
        <f>IF('FE-FxServ-Estabelecimento'!J39=0,0,'FE-Faixa de Servidão'!$C$10*'FE-FxServ-Estabelecimento'!J39)</f>
        <v>133.40146752725951</v>
      </c>
      <c r="I39" s="141">
        <f>IF('FE-FxServ-Estabelecimento'!K39=0,0,'FE-Faixa de Servidão'!$C$11*'FE-FxServ-Estabelecimento'!K39)</f>
        <v>0</v>
      </c>
      <c r="J39" s="141">
        <f>IF('FE-FxServ-Estabelecimento'!L39=0,0,'FE-Faixa de Servidão'!$C$12*'FE-FxServ-Estabelecimento'!L39)</f>
        <v>0</v>
      </c>
      <c r="K39" s="141">
        <f t="shared" si="0"/>
        <v>133.40146752725951</v>
      </c>
      <c r="L39" s="141">
        <f>IF(K39=0,0,K39+'FE-Faixa de Servidão'!$E$8)</f>
        <v>213.81362045834223</v>
      </c>
      <c r="M39" s="141">
        <f>'Inserção de dados_Linhas'!$U$13</f>
        <v>83.742400745545254</v>
      </c>
      <c r="N39" s="141">
        <f t="shared" si="1"/>
        <v>17905.265889278409</v>
      </c>
      <c r="O39" s="146">
        <f>N39</f>
        <v>17905.265889278409</v>
      </c>
    </row>
    <row r="40" spans="1:15" ht="50.1" customHeight="1" x14ac:dyDescent="0.25">
      <c r="A40" s="575" t="s">
        <v>299</v>
      </c>
      <c r="B40" s="575" t="s">
        <v>300</v>
      </c>
      <c r="C40" s="575" t="s">
        <v>73</v>
      </c>
      <c r="D40" s="557"/>
      <c r="E40" s="141">
        <f>IF('FE-FxServ-Estabelecimento'!G40=0,0,'FE-Faixa de Servidão'!$C$8*'FE-FxServ-Estabelecimento'!G40)</f>
        <v>0</v>
      </c>
      <c r="F40" s="141">
        <f>IF('FE-FxServ-Estabelecimento'!H40=0,0,'FE-Faixa de Servidão'!$C$8*'FE-FxServ-Estabelecimento'!H40)</f>
        <v>0</v>
      </c>
      <c r="G40" s="141">
        <f>IF('FE-FxServ-Estabelecimento'!I40=0,0,'FE-Faixa de Servidão'!$C$9*'FE-FxServ-Estabelecimento'!I40)</f>
        <v>0</v>
      </c>
      <c r="H40" s="141">
        <f>IF('FE-FxServ-Estabelecimento'!J40=0,0,'FE-Faixa de Servidão'!$C$10*'FE-FxServ-Estabelecimento'!J40)</f>
        <v>66.700733763629756</v>
      </c>
      <c r="I40" s="141">
        <f>IF('FE-FxServ-Estabelecimento'!K40=0,0,'FE-Faixa de Servidão'!$C$11*'FE-FxServ-Estabelecimento'!K40)</f>
        <v>0</v>
      </c>
      <c r="J40" s="141">
        <f>IF('FE-FxServ-Estabelecimento'!L40=0,0,'FE-Faixa de Servidão'!$C$12*'FE-FxServ-Estabelecimento'!L40)</f>
        <v>0</v>
      </c>
      <c r="K40" s="141">
        <f t="shared" si="0"/>
        <v>66.700733763629756</v>
      </c>
      <c r="L40" s="141">
        <f>IF(K40=0,0,K40+'FE-Faixa de Servidão'!$E$8)</f>
        <v>147.11288669471247</v>
      </c>
      <c r="M40" s="141">
        <f>'Inserção de dados_Linhas'!$V$13</f>
        <v>0</v>
      </c>
      <c r="N40" s="141">
        <f t="shared" si="1"/>
        <v>0</v>
      </c>
      <c r="O40" s="146">
        <f>SUM(N40:N42)</f>
        <v>0</v>
      </c>
    </row>
    <row r="41" spans="1:15" ht="50.1" customHeight="1" x14ac:dyDescent="0.25">
      <c r="A41" s="572"/>
      <c r="B41" s="572"/>
      <c r="C41" s="575" t="s">
        <v>74</v>
      </c>
      <c r="D41" s="557"/>
      <c r="E41" s="141">
        <f>IF('FE-FxServ-Estabelecimento'!G41=0,0,'FE-Faixa de Servidão'!$C$8*'FE-FxServ-Estabelecimento'!G41)</f>
        <v>0</v>
      </c>
      <c r="F41" s="141">
        <f>IF('FE-FxServ-Estabelecimento'!H41=0,0,'FE-Faixa de Servidão'!$C$8*'FE-FxServ-Estabelecimento'!H41)</f>
        <v>0</v>
      </c>
      <c r="G41" s="141">
        <f>IF('FE-FxServ-Estabelecimento'!I41=0,0,'FE-Faixa de Servidão'!$C$9*'FE-FxServ-Estabelecimento'!I41)</f>
        <v>0</v>
      </c>
      <c r="H41" s="141">
        <f>IF('FE-FxServ-Estabelecimento'!J41=0,0,'FE-Faixa de Servidão'!$C$10*'FE-FxServ-Estabelecimento'!J41)</f>
        <v>66.700733763629756</v>
      </c>
      <c r="I41" s="141">
        <f>IF('FE-FxServ-Estabelecimento'!K41=0,0,'FE-Faixa de Servidão'!$C$11*'FE-FxServ-Estabelecimento'!K41)</f>
        <v>0</v>
      </c>
      <c r="J41" s="141">
        <f>IF('FE-FxServ-Estabelecimento'!L41=0,0,'FE-Faixa de Servidão'!$C$12*'FE-FxServ-Estabelecimento'!L41)</f>
        <v>0</v>
      </c>
      <c r="K41" s="141">
        <f t="shared" si="0"/>
        <v>66.700733763629756</v>
      </c>
      <c r="L41" s="141">
        <f>IF(K41=0,0,K41+'FE-Faixa de Servidão'!$E$8)</f>
        <v>147.11288669471247</v>
      </c>
      <c r="M41" s="141">
        <f>'Inserção de dados_Linhas'!$W$13</f>
        <v>0</v>
      </c>
      <c r="N41" s="141">
        <f t="shared" si="1"/>
        <v>0</v>
      </c>
      <c r="O41" s="143"/>
    </row>
    <row r="42" spans="1:15" ht="50.1" customHeight="1" x14ac:dyDescent="0.25">
      <c r="A42" s="573"/>
      <c r="B42" s="573"/>
      <c r="C42" s="575" t="s">
        <v>75</v>
      </c>
      <c r="D42" s="557"/>
      <c r="E42" s="141">
        <f>IF('FE-FxServ-Estabelecimento'!G42=0,0,'FE-Faixa de Servidão'!$C$8*'FE-FxServ-Estabelecimento'!G42)</f>
        <v>0</v>
      </c>
      <c r="F42" s="141">
        <f>IF('FE-FxServ-Estabelecimento'!H42=0,0,'FE-Faixa de Servidão'!$C$8*'FE-FxServ-Estabelecimento'!H42)</f>
        <v>0</v>
      </c>
      <c r="G42" s="141">
        <f>IF('FE-FxServ-Estabelecimento'!I42=0,0,'FE-Faixa de Servidão'!$C$9*'FE-FxServ-Estabelecimento'!I42)</f>
        <v>0</v>
      </c>
      <c r="H42" s="141">
        <f>IF('FE-FxServ-Estabelecimento'!J42=0,0,'FE-Faixa de Servidão'!$C$10*'FE-FxServ-Estabelecimento'!J42)</f>
        <v>66.700733763629756</v>
      </c>
      <c r="I42" s="141">
        <f>IF('FE-FxServ-Estabelecimento'!K42=0,0,'FE-Faixa de Servidão'!$C$11*'FE-FxServ-Estabelecimento'!K42)</f>
        <v>0</v>
      </c>
      <c r="J42" s="141">
        <f>IF('FE-FxServ-Estabelecimento'!L42=0,0,'FE-Faixa de Servidão'!$C$12*'FE-FxServ-Estabelecimento'!L42)</f>
        <v>0</v>
      </c>
      <c r="K42" s="141">
        <f t="shared" si="0"/>
        <v>66.700733763629756</v>
      </c>
      <c r="L42" s="141">
        <f>IF(K42=0,0,K42+'FE-Faixa de Servidão'!$E$8)</f>
        <v>147.11288669471247</v>
      </c>
      <c r="M42" s="141">
        <f>'Inserção de dados_Linhas'!$X$13</f>
        <v>0</v>
      </c>
      <c r="N42" s="141">
        <f t="shared" si="1"/>
        <v>0</v>
      </c>
      <c r="O42" s="143"/>
    </row>
    <row r="43" spans="1:15" ht="50.1" customHeight="1" x14ac:dyDescent="0.25">
      <c r="A43" s="575" t="s">
        <v>301</v>
      </c>
      <c r="B43" s="559"/>
      <c r="C43" s="559"/>
      <c r="D43" s="557"/>
      <c r="E43" s="141">
        <f>IF('FE-FxServ-Estabelecimento'!G43=0,0,'FE-Faixa de Servidão'!$C$8*'FE-FxServ-Estabelecimento'!G43)</f>
        <v>0</v>
      </c>
      <c r="F43" s="141">
        <f>IF('FE-FxServ-Estabelecimento'!H43=0,0,'FE-Faixa de Servidão'!$C$8*'FE-FxServ-Estabelecimento'!H43)</f>
        <v>0</v>
      </c>
      <c r="G43" s="141">
        <f>IF('FE-FxServ-Estabelecimento'!I43=0,0,'FE-Faixa de Servidão'!$C$9*'FE-FxServ-Estabelecimento'!I43)</f>
        <v>0</v>
      </c>
      <c r="H43" s="141">
        <f>IF('FE-FxServ-Estabelecimento'!J43=0,0,'FE-Faixa de Servidão'!$C$10*'FE-FxServ-Estabelecimento'!J43)</f>
        <v>0</v>
      </c>
      <c r="I43" s="141">
        <f>IF('FE-FxServ-Estabelecimento'!K43=0,0,'FE-Faixa de Servidão'!$C$11*'FE-FxServ-Estabelecimento'!K43)</f>
        <v>0</v>
      </c>
      <c r="J43" s="141">
        <f>IF('FE-FxServ-Estabelecimento'!L43=0,0,'FE-Faixa de Servidão'!$C$12*'FE-FxServ-Estabelecimento'!L43)</f>
        <v>0</v>
      </c>
      <c r="K43" s="141">
        <f t="shared" si="0"/>
        <v>0</v>
      </c>
      <c r="L43" s="141">
        <f>IF(K43=0,0,K43+'FE-Faixa de Servidão'!$E$8)</f>
        <v>0</v>
      </c>
      <c r="M43" s="141"/>
      <c r="N43" s="141">
        <f t="shared" si="1"/>
        <v>0</v>
      </c>
      <c r="O43" s="146">
        <f>N43</f>
        <v>0</v>
      </c>
    </row>
    <row r="44" spans="1:15" ht="50.1" customHeight="1" x14ac:dyDescent="0.25">
      <c r="A44" s="575" t="s">
        <v>302</v>
      </c>
      <c r="B44" s="559"/>
      <c r="C44" s="559"/>
      <c r="D44" s="557"/>
      <c r="E44" s="141">
        <f>IF('FE-FxServ-Estabelecimento'!G44=0,0,'FE-Faixa de Servidão'!$C$8*'FE-FxServ-Estabelecimento'!G44)</f>
        <v>0</v>
      </c>
      <c r="F44" s="141">
        <f>IF('FE-FxServ-Estabelecimento'!H44=0,0,'FE-Faixa de Servidão'!$C$8*'FE-FxServ-Estabelecimento'!H44)</f>
        <v>0</v>
      </c>
      <c r="G44" s="141">
        <f>IF('FE-FxServ-Estabelecimento'!I44=0,0,'FE-Faixa de Servidão'!$C$9*'FE-FxServ-Estabelecimento'!I44)</f>
        <v>0</v>
      </c>
      <c r="H44" s="141">
        <f>IF('FE-FxServ-Estabelecimento'!J44=0,0,'FE-Faixa de Servidão'!$C$10*'FE-FxServ-Estabelecimento'!J44)</f>
        <v>0</v>
      </c>
      <c r="I44" s="141">
        <f>IF('FE-FxServ-Estabelecimento'!K44=0,0,'FE-Faixa de Servidão'!$C$11*'FE-FxServ-Estabelecimento'!K44)</f>
        <v>0</v>
      </c>
      <c r="J44" s="141">
        <f>IF('FE-FxServ-Estabelecimento'!L44=0,0,'FE-Faixa de Servidão'!$C$12*'FE-FxServ-Estabelecimento'!L44)</f>
        <v>0</v>
      </c>
      <c r="K44" s="141">
        <f t="shared" si="0"/>
        <v>0</v>
      </c>
      <c r="L44" s="141">
        <f>IF(K44=0,0,K44+'FE-Faixa de Servidão'!$E$8)</f>
        <v>0</v>
      </c>
      <c r="M44" s="141"/>
      <c r="N44" s="141">
        <f t="shared" si="1"/>
        <v>0</v>
      </c>
      <c r="O44" s="146">
        <f>N44</f>
        <v>0</v>
      </c>
    </row>
    <row r="45" spans="1:15" x14ac:dyDescent="0.25">
      <c r="O45" s="142"/>
    </row>
    <row r="46" spans="1:15" x14ac:dyDescent="0.25">
      <c r="O46" s="142"/>
    </row>
    <row r="47" spans="1:15" ht="27.95" customHeight="1" x14ac:dyDescent="0.25">
      <c r="A47" s="133"/>
      <c r="O47" s="142"/>
    </row>
    <row r="48" spans="1:15" ht="35.1" customHeight="1" x14ac:dyDescent="0.25">
      <c r="A48" s="133"/>
      <c r="O48" s="142"/>
    </row>
    <row r="49" spans="1:15" ht="14.45" customHeight="1" x14ac:dyDescent="0.25">
      <c r="A49" s="133"/>
      <c r="O49" s="142"/>
    </row>
  </sheetData>
  <sheetProtection algorithmName="SHA-512" hashValue="Zb0E6TM0YbI5s4d4htjtpKAYLVkHxOKeV7xgAYau3bdSeIoMiMVHhV/B8ZgGa4l6466ffXiStSeKVregHezIlg==" saltValue="I9FgogqFqa7xeqgN9r1gPg==" spinCount="100000" sheet="1" objects="1" scenarios="1"/>
  <mergeCells count="44">
    <mergeCell ref="A14:A21"/>
    <mergeCell ref="C24:C28"/>
    <mergeCell ref="E3:J3"/>
    <mergeCell ref="C23:D23"/>
    <mergeCell ref="C17:D17"/>
    <mergeCell ref="B18:B20"/>
    <mergeCell ref="B22:B23"/>
    <mergeCell ref="C19:D19"/>
    <mergeCell ref="B21:D21"/>
    <mergeCell ref="C18:D18"/>
    <mergeCell ref="B5:D5"/>
    <mergeCell ref="B7:D7"/>
    <mergeCell ref="A43:D43"/>
    <mergeCell ref="A44:D44"/>
    <mergeCell ref="A1:N1"/>
    <mergeCell ref="C20:D20"/>
    <mergeCell ref="A5:A13"/>
    <mergeCell ref="C10:D10"/>
    <mergeCell ref="C16:D16"/>
    <mergeCell ref="B24:B28"/>
    <mergeCell ref="C41:D41"/>
    <mergeCell ref="A39:D39"/>
    <mergeCell ref="C22:D22"/>
    <mergeCell ref="C40:D40"/>
    <mergeCell ref="C9:D9"/>
    <mergeCell ref="B6:D6"/>
    <mergeCell ref="A40:A42"/>
    <mergeCell ref="B9:B10"/>
    <mergeCell ref="A29:A38"/>
    <mergeCell ref="C15:D15"/>
    <mergeCell ref="B40:B42"/>
    <mergeCell ref="B8:D8"/>
    <mergeCell ref="C42:D42"/>
    <mergeCell ref="B11:B12"/>
    <mergeCell ref="B13:D13"/>
    <mergeCell ref="C14:D14"/>
    <mergeCell ref="B15:B17"/>
    <mergeCell ref="C12:D12"/>
    <mergeCell ref="B29:B38"/>
    <mergeCell ref="C29:C35"/>
    <mergeCell ref="C36:C38"/>
    <mergeCell ref="A22:A23"/>
    <mergeCell ref="C11:D11"/>
    <mergeCell ref="A24:A28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olha14">
    <tabColor rgb="FF7030A0"/>
  </sheetPr>
  <dimension ref="A1:R133"/>
  <sheetViews>
    <sheetView topLeftCell="A62" zoomScale="145" zoomScaleNormal="145" workbookViewId="0">
      <selection activeCell="O5" sqref="O5"/>
    </sheetView>
  </sheetViews>
  <sheetFormatPr defaultColWidth="8.7109375" defaultRowHeight="15" x14ac:dyDescent="0.25"/>
  <cols>
    <col min="1" max="1" width="8.7109375" style="3" customWidth="1"/>
    <col min="2" max="16384" width="8.7109375" style="3"/>
  </cols>
  <sheetData>
    <row r="1" spans="1:18" s="202" customFormat="1" ht="25.5" customHeight="1" x14ac:dyDescent="0.25">
      <c r="A1" s="534" t="s">
        <v>13</v>
      </c>
      <c r="B1" s="535"/>
      <c r="C1" s="535"/>
      <c r="D1" s="535"/>
      <c r="E1" s="535"/>
      <c r="F1" s="535"/>
      <c r="G1" s="535"/>
      <c r="H1" s="535"/>
      <c r="I1" s="535"/>
      <c r="J1" s="535"/>
      <c r="K1" s="535"/>
      <c r="L1" s="535"/>
      <c r="M1" s="535"/>
      <c r="N1" s="535"/>
      <c r="O1" s="535"/>
      <c r="P1" s="535"/>
      <c r="Q1" s="535"/>
      <c r="R1" s="535"/>
    </row>
    <row r="2" spans="1:18" s="213" customFormat="1" ht="33" customHeight="1" x14ac:dyDescent="0.25">
      <c r="A2" s="210"/>
      <c r="B2" s="210"/>
      <c r="C2" s="210"/>
      <c r="D2" s="210"/>
      <c r="E2" s="210"/>
      <c r="F2" s="210"/>
      <c r="G2" s="210"/>
      <c r="H2" s="210"/>
      <c r="I2" s="210"/>
      <c r="J2" s="210"/>
      <c r="K2" s="210"/>
      <c r="L2" s="210"/>
      <c r="M2" s="210"/>
      <c r="N2" s="210"/>
      <c r="O2" s="210"/>
      <c r="P2" s="210"/>
      <c r="Q2" s="210"/>
      <c r="R2" s="210"/>
    </row>
    <row r="3" spans="1:18" x14ac:dyDescent="0.25">
      <c r="A3" s="31" t="s">
        <v>310</v>
      </c>
    </row>
    <row r="5" spans="1:18" x14ac:dyDescent="0.25">
      <c r="A5" s="32" t="s">
        <v>311</v>
      </c>
    </row>
    <row r="27" spans="1:14" x14ac:dyDescent="0.25">
      <c r="A27" s="31" t="s">
        <v>312</v>
      </c>
    </row>
    <row r="28" spans="1:14" x14ac:dyDescent="0.25">
      <c r="H28" s="30"/>
      <c r="I28" s="30"/>
      <c r="J28" s="30"/>
      <c r="K28" s="30"/>
      <c r="L28" s="30"/>
      <c r="M28" s="30"/>
      <c r="N28" s="30"/>
    </row>
    <row r="29" spans="1:14" x14ac:dyDescent="0.25">
      <c r="A29" s="32" t="s">
        <v>311</v>
      </c>
      <c r="H29" s="30"/>
    </row>
    <row r="52" spans="1:1" x14ac:dyDescent="0.25">
      <c r="A52" s="31" t="s">
        <v>313</v>
      </c>
    </row>
    <row r="54" spans="1:1" x14ac:dyDescent="0.25">
      <c r="A54" s="34" t="s">
        <v>311</v>
      </c>
    </row>
    <row r="76" spans="1:9" x14ac:dyDescent="0.25">
      <c r="A76" s="31" t="s">
        <v>314</v>
      </c>
    </row>
    <row r="78" spans="1:9" x14ac:dyDescent="0.25">
      <c r="A78" s="34" t="s">
        <v>311</v>
      </c>
      <c r="E78" s="29"/>
      <c r="F78" s="30"/>
      <c r="G78" s="30"/>
      <c r="H78" s="30"/>
      <c r="I78" s="30"/>
    </row>
    <row r="101" spans="1:1" x14ac:dyDescent="0.25">
      <c r="A101" s="31" t="s">
        <v>315</v>
      </c>
    </row>
    <row r="103" spans="1:1" x14ac:dyDescent="0.25">
      <c r="A103" s="34" t="s">
        <v>311</v>
      </c>
    </row>
    <row r="133" spans="2:5" x14ac:dyDescent="0.25">
      <c r="B133" s="29"/>
      <c r="C133" s="30"/>
      <c r="D133" s="30"/>
      <c r="E133" s="30"/>
    </row>
  </sheetData>
  <mergeCells count="1">
    <mergeCell ref="A1:R1"/>
  </mergeCells>
  <hyperlinks>
    <hyperlink ref="A5" r:id="rId1" xr:uid="{00000000-0004-0000-0C00-000000000000}"/>
    <hyperlink ref="A29" r:id="rId2" xr:uid="{00000000-0004-0000-0C00-000001000000}"/>
    <hyperlink ref="A54" r:id="rId3" xr:uid="{00000000-0004-0000-0C00-000002000000}"/>
    <hyperlink ref="A78" r:id="rId4" xr:uid="{00000000-0004-0000-0C00-000003000000}"/>
    <hyperlink ref="A103" r:id="rId5" xr:uid="{00000000-0004-0000-0C00-000004000000}"/>
  </hyperlinks>
  <pageMargins left="0.7" right="0.7" top="0.75" bottom="0.75" header="0.3" footer="0.3"/>
  <pageSetup paperSize="9" orientation="portrait"/>
  <drawing r:id="rId6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DE716-D318-4998-9FB6-242FAAEB1587}">
  <sheetPr codeName="Folha21">
    <tabColor rgb="FF7030A0"/>
    <outlinePr showOutlineSymbols="0"/>
    <pageSetUpPr fitToPage="1"/>
  </sheetPr>
  <dimension ref="A1:AB123"/>
  <sheetViews>
    <sheetView showGridLines="0" zoomScale="70" zoomScaleNormal="70" workbookViewId="0">
      <selection activeCell="K8" sqref="K8"/>
    </sheetView>
  </sheetViews>
  <sheetFormatPr defaultColWidth="9.140625" defaultRowHeight="15.75" x14ac:dyDescent="0.25"/>
  <cols>
    <col min="1" max="1" width="18.28515625" style="287" customWidth="1"/>
    <col min="2" max="2" width="6.7109375" style="287" customWidth="1"/>
    <col min="3" max="3" width="29.42578125" style="287" customWidth="1"/>
    <col min="4" max="4" width="20" style="287" bestFit="1" customWidth="1"/>
    <col min="5" max="10" width="31.7109375" style="287" customWidth="1"/>
    <col min="11" max="12" width="49.7109375" style="287" customWidth="1"/>
    <col min="13" max="13" width="12.7109375" style="287" bestFit="1" customWidth="1"/>
    <col min="14" max="24" width="9.140625" style="287"/>
    <col min="25" max="25" width="44.42578125" style="287" customWidth="1"/>
    <col min="26" max="26" width="38" style="287" customWidth="1"/>
    <col min="27" max="27" width="47.5703125" style="287" customWidth="1"/>
    <col min="28" max="28" width="36.5703125" style="287" customWidth="1"/>
    <col min="29" max="16384" width="9.140625" style="287"/>
  </cols>
  <sheetData>
    <row r="1" spans="1:28" s="197" customFormat="1" ht="24.95" customHeight="1" thickBot="1" x14ac:dyDescent="0.3">
      <c r="A1" s="588" t="s">
        <v>405</v>
      </c>
      <c r="B1" s="589"/>
      <c r="C1" s="589"/>
      <c r="D1" s="589"/>
      <c r="E1" s="589"/>
      <c r="F1" s="590"/>
      <c r="G1" s="285"/>
      <c r="H1" s="88"/>
      <c r="I1" s="88"/>
      <c r="J1" s="286"/>
    </row>
    <row r="2" spans="1:28" s="289" customFormat="1" ht="14.65" customHeight="1" x14ac:dyDescent="0.25">
      <c r="A2" s="287"/>
      <c r="B2" s="288"/>
      <c r="C2" s="288"/>
      <c r="D2" s="288"/>
      <c r="E2" s="288"/>
      <c r="F2" s="288"/>
      <c r="G2" s="288"/>
      <c r="H2" s="288"/>
      <c r="I2" s="288"/>
      <c r="J2" s="288"/>
      <c r="K2" s="288"/>
      <c r="L2" s="288"/>
      <c r="M2" s="288"/>
    </row>
    <row r="3" spans="1:28" s="290" customFormat="1" ht="15" customHeight="1" x14ac:dyDescent="0.25">
      <c r="A3" s="287"/>
      <c r="B3" s="288"/>
      <c r="C3" s="288"/>
      <c r="D3" s="288"/>
      <c r="E3" s="288"/>
      <c r="F3" s="288"/>
      <c r="G3" s="288"/>
      <c r="H3" s="288"/>
      <c r="I3" s="288"/>
      <c r="J3" s="288"/>
      <c r="K3" s="288"/>
      <c r="L3" s="288"/>
      <c r="M3" s="288"/>
    </row>
    <row r="4" spans="1:28" ht="15" customHeight="1" x14ac:dyDescent="0.25"/>
    <row r="5" spans="1:28" ht="15" customHeight="1" x14ac:dyDescent="0.25">
      <c r="C5" s="291"/>
      <c r="D5" s="291"/>
      <c r="E5" s="291"/>
      <c r="F5" s="291"/>
      <c r="G5" s="291"/>
      <c r="H5" s="291"/>
      <c r="I5" s="291"/>
      <c r="J5" s="291"/>
      <c r="K5" s="291"/>
      <c r="L5" s="291"/>
      <c r="M5" s="291"/>
      <c r="N5" s="291"/>
      <c r="O5" s="291"/>
      <c r="P5" s="291"/>
      <c r="Q5" s="291"/>
    </row>
    <row r="6" spans="1:28" ht="59.25" customHeight="1" x14ac:dyDescent="0.25">
      <c r="C6" s="292" t="s">
        <v>406</v>
      </c>
      <c r="D6" s="292" t="s">
        <v>407</v>
      </c>
      <c r="E6" s="292" t="s">
        <v>408</v>
      </c>
      <c r="F6" s="292" t="s">
        <v>409</v>
      </c>
      <c r="G6" s="292" t="s">
        <v>410</v>
      </c>
      <c r="H6" s="292" t="s">
        <v>411</v>
      </c>
      <c r="I6" s="292" t="s">
        <v>412</v>
      </c>
      <c r="J6" s="292" t="s">
        <v>413</v>
      </c>
      <c r="K6" s="292" t="s">
        <v>414</v>
      </c>
      <c r="L6" s="293" t="s">
        <v>415</v>
      </c>
      <c r="M6" s="291"/>
      <c r="N6" s="291"/>
      <c r="O6" s="291"/>
      <c r="P6" s="291"/>
      <c r="Q6" s="291"/>
    </row>
    <row r="7" spans="1:28" ht="197.25" customHeight="1" x14ac:dyDescent="0.25">
      <c r="C7" s="294" t="s">
        <v>416</v>
      </c>
      <c r="D7" s="295" t="s">
        <v>417</v>
      </c>
      <c r="E7" s="296">
        <v>1180000</v>
      </c>
      <c r="F7" s="296">
        <v>82900</v>
      </c>
      <c r="G7" s="296">
        <v>14200</v>
      </c>
      <c r="H7" s="297">
        <v>37900000</v>
      </c>
      <c r="I7" s="297">
        <v>-202000</v>
      </c>
      <c r="J7" s="298">
        <f>SUM(E7:I7)/1000</f>
        <v>38975.1</v>
      </c>
      <c r="K7" s="299" t="s">
        <v>418</v>
      </c>
      <c r="L7" s="300" t="s">
        <v>419</v>
      </c>
      <c r="M7" s="291"/>
      <c r="N7" s="291"/>
      <c r="O7" s="291"/>
      <c r="P7" s="291"/>
      <c r="Q7" s="291"/>
      <c r="Y7" s="301" t="s">
        <v>420</v>
      </c>
      <c r="Z7" s="302">
        <f t="shared" ref="Z7:Z22" si="0">J7</f>
        <v>38975.1</v>
      </c>
      <c r="AB7" s="287">
        <f>SUM(Z8:Z23)/Z7</f>
        <v>9.9529414649353037E-3</v>
      </c>
    </row>
    <row r="8" spans="1:28" ht="228.75" customHeight="1" thickBot="1" x14ac:dyDescent="0.3">
      <c r="C8" s="294" t="s">
        <v>421</v>
      </c>
      <c r="D8" s="295" t="s">
        <v>422</v>
      </c>
      <c r="E8" s="303">
        <v>30800</v>
      </c>
      <c r="F8" s="303">
        <v>1650</v>
      </c>
      <c r="G8" s="303">
        <v>20.5</v>
      </c>
      <c r="H8" s="303">
        <v>695</v>
      </c>
      <c r="I8" s="303">
        <v>565</v>
      </c>
      <c r="J8" s="298">
        <f>SUM(E8:I8)/1000</f>
        <v>33.730499999999999</v>
      </c>
      <c r="K8" s="304" t="s">
        <v>423</v>
      </c>
      <c r="L8" s="305" t="s">
        <v>424</v>
      </c>
      <c r="M8" s="291"/>
      <c r="N8" s="291"/>
      <c r="O8" s="291"/>
      <c r="P8" s="291"/>
      <c r="Q8" s="291"/>
      <c r="Y8" s="301" t="s">
        <v>425</v>
      </c>
      <c r="Z8" s="302">
        <f t="shared" si="0"/>
        <v>33.730499999999999</v>
      </c>
      <c r="AA8" s="306"/>
    </row>
    <row r="9" spans="1:28" ht="147.75" hidden="1" customHeight="1" x14ac:dyDescent="0.25">
      <c r="B9" s="307"/>
      <c r="C9" s="294" t="s">
        <v>426</v>
      </c>
      <c r="D9" s="308" t="s">
        <v>422</v>
      </c>
      <c r="E9" s="303">
        <v>10600</v>
      </c>
      <c r="F9" s="303">
        <v>176</v>
      </c>
      <c r="G9" s="303">
        <v>41.6</v>
      </c>
      <c r="H9" s="303">
        <v>19.5</v>
      </c>
      <c r="I9" s="303">
        <v>-624</v>
      </c>
      <c r="J9" s="309">
        <f>SUM(E9:I9)/1000</f>
        <v>10.213100000000001</v>
      </c>
      <c r="K9" s="310" t="s">
        <v>427</v>
      </c>
      <c r="L9" s="310"/>
      <c r="M9" s="291"/>
      <c r="N9" s="291"/>
      <c r="O9" s="291"/>
      <c r="P9" s="291"/>
      <c r="Q9" s="291"/>
      <c r="Y9" s="301" t="s">
        <v>426</v>
      </c>
      <c r="Z9" s="302">
        <f t="shared" si="0"/>
        <v>10.213100000000001</v>
      </c>
    </row>
    <row r="10" spans="1:28" ht="261.75" hidden="1" customHeight="1" x14ac:dyDescent="0.25">
      <c r="C10" s="294" t="s">
        <v>428</v>
      </c>
      <c r="D10" s="308" t="s">
        <v>417</v>
      </c>
      <c r="E10" s="311" t="s">
        <v>429</v>
      </c>
      <c r="F10" s="311" t="s">
        <v>430</v>
      </c>
      <c r="G10" s="311" t="s">
        <v>431</v>
      </c>
      <c r="H10" s="311" t="s">
        <v>432</v>
      </c>
      <c r="I10" s="311" t="s">
        <v>433</v>
      </c>
      <c r="J10" s="309">
        <f t="shared" ref="J10:J11" si="1">SUM(E10:I10)/1000</f>
        <v>0</v>
      </c>
      <c r="K10" s="312" t="s">
        <v>428</v>
      </c>
      <c r="L10" s="312"/>
      <c r="M10" s="291"/>
      <c r="N10" s="291"/>
      <c r="O10" s="291"/>
      <c r="P10" s="291"/>
      <c r="Q10" s="291"/>
      <c r="Y10" s="301" t="s">
        <v>428</v>
      </c>
      <c r="Z10" s="302">
        <f t="shared" si="0"/>
        <v>0</v>
      </c>
    </row>
    <row r="11" spans="1:28" ht="191.25" customHeight="1" thickBot="1" x14ac:dyDescent="0.3">
      <c r="C11" s="294" t="s">
        <v>434</v>
      </c>
      <c r="D11" s="295" t="s">
        <v>435</v>
      </c>
      <c r="E11" s="311">
        <v>2560.52</v>
      </c>
      <c r="F11" s="311">
        <v>145.6</v>
      </c>
      <c r="G11" s="311">
        <v>12.95</v>
      </c>
      <c r="H11" s="311">
        <v>26700</v>
      </c>
      <c r="I11" s="311">
        <v>435.85</v>
      </c>
      <c r="J11" s="309">
        <f t="shared" si="1"/>
        <v>29.85492</v>
      </c>
      <c r="K11" s="304" t="s">
        <v>436</v>
      </c>
      <c r="L11" s="313"/>
      <c r="M11" s="291"/>
      <c r="N11" s="291"/>
      <c r="O11" s="291"/>
      <c r="P11" s="291"/>
      <c r="Q11" s="291"/>
      <c r="Y11" s="314" t="s">
        <v>437</v>
      </c>
      <c r="Z11" s="302">
        <f t="shared" si="0"/>
        <v>29.85492</v>
      </c>
      <c r="AA11" s="315"/>
    </row>
    <row r="12" spans="1:28" ht="169.5" customHeight="1" x14ac:dyDescent="0.25">
      <c r="C12" s="294" t="s">
        <v>438</v>
      </c>
      <c r="D12" s="295" t="s">
        <v>417</v>
      </c>
      <c r="E12" s="311">
        <v>6898</v>
      </c>
      <c r="F12" s="303">
        <v>95.3</v>
      </c>
      <c r="G12" s="303">
        <v>41.6</v>
      </c>
      <c r="H12" s="303">
        <v>2510</v>
      </c>
      <c r="I12" s="311">
        <v>1360</v>
      </c>
      <c r="J12" s="309">
        <f>SUM(E12:I12)/1000</f>
        <v>10.904900000000001</v>
      </c>
      <c r="K12" s="304" t="s">
        <v>439</v>
      </c>
      <c r="L12" s="310"/>
      <c r="M12" s="291"/>
      <c r="N12" s="291"/>
      <c r="O12" s="291"/>
      <c r="P12" s="291"/>
      <c r="Q12" s="291"/>
      <c r="Y12" s="301" t="s">
        <v>440</v>
      </c>
      <c r="Z12" s="302">
        <f t="shared" si="0"/>
        <v>10.904900000000001</v>
      </c>
      <c r="AA12" s="315"/>
    </row>
    <row r="13" spans="1:28" ht="159.75" customHeight="1" x14ac:dyDescent="0.25">
      <c r="C13" s="294" t="s">
        <v>441</v>
      </c>
      <c r="D13" s="295" t="s">
        <v>417</v>
      </c>
      <c r="E13" s="316">
        <v>1302</v>
      </c>
      <c r="F13" s="311">
        <v>44.7</v>
      </c>
      <c r="G13" s="311">
        <v>41.5</v>
      </c>
      <c r="H13" s="311">
        <v>1830</v>
      </c>
      <c r="I13" s="311">
        <v>515.20000000000005</v>
      </c>
      <c r="J13" s="309">
        <f>SUM(E13:I13)/1000</f>
        <v>3.7333999999999996</v>
      </c>
      <c r="K13" s="304" t="s">
        <v>442</v>
      </c>
      <c r="L13" s="310"/>
      <c r="M13" s="317"/>
      <c r="N13" s="291"/>
      <c r="O13" s="291"/>
      <c r="P13" s="291"/>
      <c r="Q13" s="291"/>
      <c r="Y13" t="s">
        <v>443</v>
      </c>
      <c r="Z13" s="302">
        <f t="shared" si="0"/>
        <v>3.7333999999999996</v>
      </c>
      <c r="AA13" s="315"/>
    </row>
    <row r="14" spans="1:28" ht="125.25" customHeight="1" x14ac:dyDescent="0.25">
      <c r="C14" s="294" t="s">
        <v>444</v>
      </c>
      <c r="D14" s="295" t="s">
        <v>417</v>
      </c>
      <c r="E14" s="296">
        <v>6430</v>
      </c>
      <c r="F14" s="311">
        <v>112</v>
      </c>
      <c r="G14" s="311">
        <v>41.5</v>
      </c>
      <c r="H14" s="311">
        <v>13700</v>
      </c>
      <c r="I14" s="311">
        <v>1080</v>
      </c>
      <c r="J14" s="309">
        <f>SUM(E14:I14)/1000</f>
        <v>21.363499999999998</v>
      </c>
      <c r="K14" s="304" t="s">
        <v>445</v>
      </c>
      <c r="L14" s="310"/>
      <c r="M14" s="291"/>
      <c r="N14" s="291"/>
      <c r="O14" s="291"/>
      <c r="P14" s="291"/>
      <c r="Q14" s="291"/>
      <c r="Y14" t="s">
        <v>446</v>
      </c>
      <c r="Z14" s="302">
        <f t="shared" si="0"/>
        <v>21.363499999999998</v>
      </c>
    </row>
    <row r="15" spans="1:28" ht="91.5" customHeight="1" x14ac:dyDescent="0.25">
      <c r="C15" s="294" t="s">
        <v>447</v>
      </c>
      <c r="D15" s="295" t="s">
        <v>448</v>
      </c>
      <c r="E15" s="311">
        <v>38800</v>
      </c>
      <c r="F15" s="311">
        <v>2080</v>
      </c>
      <c r="G15" s="311">
        <v>7330</v>
      </c>
      <c r="H15" s="311">
        <v>90000</v>
      </c>
      <c r="I15" s="311">
        <v>60000</v>
      </c>
      <c r="J15" s="298">
        <f>SUM(E15:I15)/1000</f>
        <v>198.21</v>
      </c>
      <c r="K15" s="304" t="s">
        <v>449</v>
      </c>
      <c r="L15" s="312"/>
      <c r="M15" s="291"/>
      <c r="N15" s="291"/>
      <c r="O15" s="291"/>
      <c r="P15" s="291"/>
      <c r="Q15" s="291"/>
      <c r="Y15" t="s">
        <v>450</v>
      </c>
      <c r="Z15" s="302">
        <f t="shared" si="0"/>
        <v>198.21</v>
      </c>
    </row>
    <row r="16" spans="1:28" ht="88.5" customHeight="1" x14ac:dyDescent="0.25">
      <c r="C16" s="294" t="s">
        <v>451</v>
      </c>
      <c r="D16" s="295" t="s">
        <v>452</v>
      </c>
      <c r="E16" s="591">
        <v>681</v>
      </c>
      <c r="F16" s="592"/>
      <c r="G16" s="311">
        <v>0</v>
      </c>
      <c r="H16" s="311">
        <v>1.4810000000000001</v>
      </c>
      <c r="I16" s="311">
        <v>-282</v>
      </c>
      <c r="J16" s="309">
        <f t="shared" ref="J16:J18" si="2">SUM(E16:I16)/1000</f>
        <v>0.40048099999999998</v>
      </c>
      <c r="K16" s="299" t="s">
        <v>453</v>
      </c>
      <c r="L16" s="305" t="s">
        <v>454</v>
      </c>
      <c r="M16" s="291"/>
      <c r="N16" s="291"/>
      <c r="O16" s="291"/>
      <c r="P16" s="291"/>
      <c r="Q16" s="291"/>
      <c r="Y16" t="s">
        <v>455</v>
      </c>
      <c r="Z16" s="302">
        <f t="shared" si="0"/>
        <v>0.40048099999999998</v>
      </c>
    </row>
    <row r="17" spans="3:26" ht="133.5" customHeight="1" x14ac:dyDescent="0.25">
      <c r="C17" s="294" t="s">
        <v>456</v>
      </c>
      <c r="D17" s="308" t="s">
        <v>448</v>
      </c>
      <c r="E17" s="303">
        <v>16.399999999999999</v>
      </c>
      <c r="F17" s="303">
        <v>1.31</v>
      </c>
      <c r="G17" s="303">
        <v>6.6000000000000003E-2</v>
      </c>
      <c r="H17" s="303">
        <v>0</v>
      </c>
      <c r="I17" s="303">
        <v>3.4569999999999997E-2</v>
      </c>
      <c r="J17" s="318">
        <f>SUM(E17:I17)/1000</f>
        <v>1.7810569999999994E-2</v>
      </c>
      <c r="K17" s="304" t="s">
        <v>457</v>
      </c>
      <c r="L17" s="312"/>
      <c r="M17" s="291"/>
      <c r="N17" s="291"/>
      <c r="O17" s="291"/>
      <c r="P17" s="291"/>
      <c r="Q17" s="291"/>
      <c r="S17" s="319"/>
      <c r="Y17" t="s">
        <v>458</v>
      </c>
      <c r="Z17" s="302">
        <f t="shared" si="0"/>
        <v>1.7810569999999994E-2</v>
      </c>
    </row>
    <row r="18" spans="3:26" ht="103.5" customHeight="1" x14ac:dyDescent="0.25">
      <c r="C18" s="294" t="s">
        <v>459</v>
      </c>
      <c r="D18" s="308" t="s">
        <v>460</v>
      </c>
      <c r="E18" s="303">
        <v>223</v>
      </c>
      <c r="F18" s="303">
        <v>10.199999999999999</v>
      </c>
      <c r="G18" s="303">
        <v>160</v>
      </c>
      <c r="H18" s="303">
        <v>329</v>
      </c>
      <c r="I18" s="303">
        <v>53.5</v>
      </c>
      <c r="J18" s="309">
        <f t="shared" si="2"/>
        <v>0.77570000000000006</v>
      </c>
      <c r="K18" s="304" t="s">
        <v>461</v>
      </c>
      <c r="L18" s="310"/>
      <c r="M18" s="291"/>
      <c r="N18" s="291"/>
      <c r="O18" s="291"/>
      <c r="P18" s="291"/>
      <c r="Q18" s="291"/>
      <c r="Y18" t="s">
        <v>462</v>
      </c>
      <c r="Z18" s="302">
        <f t="shared" si="0"/>
        <v>0.77570000000000006</v>
      </c>
    </row>
    <row r="19" spans="3:26" ht="99.75" customHeight="1" x14ac:dyDescent="0.25">
      <c r="C19" s="294" t="s">
        <v>463</v>
      </c>
      <c r="D19" s="308" t="s">
        <v>460</v>
      </c>
      <c r="E19" s="297">
        <v>88.2</v>
      </c>
      <c r="F19" s="297">
        <v>2.08</v>
      </c>
      <c r="G19" s="297">
        <v>1.48</v>
      </c>
      <c r="H19" s="297">
        <v>3850</v>
      </c>
      <c r="I19" s="297">
        <v>2.5299999999999998</v>
      </c>
      <c r="J19" s="309">
        <f>SUM(E19:I19)/1000</f>
        <v>3.9442900000000005</v>
      </c>
      <c r="K19" s="304" t="s">
        <v>464</v>
      </c>
      <c r="L19" s="312"/>
      <c r="M19" s="291"/>
      <c r="N19" s="291"/>
      <c r="O19" s="291"/>
      <c r="P19" s="291"/>
      <c r="Q19" s="291"/>
      <c r="Y19" s="301" t="s">
        <v>465</v>
      </c>
      <c r="Z19" s="302">
        <f t="shared" si="0"/>
        <v>3.9442900000000005</v>
      </c>
    </row>
    <row r="20" spans="3:26" ht="65.25" customHeight="1" x14ac:dyDescent="0.25">
      <c r="C20" s="294" t="s">
        <v>466</v>
      </c>
      <c r="D20" s="308" t="s">
        <v>422</v>
      </c>
      <c r="E20" s="320">
        <v>1640</v>
      </c>
      <c r="F20" s="320">
        <v>16.7</v>
      </c>
      <c r="G20" s="320">
        <v>37.5</v>
      </c>
      <c r="H20" s="320">
        <v>2830</v>
      </c>
      <c r="I20" s="320">
        <v>37</v>
      </c>
      <c r="J20" s="298">
        <f>SUM(E20:I20)/1000</f>
        <v>4.5611999999999995</v>
      </c>
      <c r="K20" s="304" t="s">
        <v>467</v>
      </c>
      <c r="L20" s="321"/>
      <c r="M20" s="322"/>
      <c r="N20" s="322"/>
      <c r="O20" s="322"/>
      <c r="P20" s="322"/>
      <c r="Q20" s="322"/>
      <c r="Y20" s="301" t="s">
        <v>468</v>
      </c>
      <c r="Z20" s="302">
        <f t="shared" si="0"/>
        <v>4.5611999999999995</v>
      </c>
    </row>
    <row r="21" spans="3:26" ht="65.25" customHeight="1" x14ac:dyDescent="0.25">
      <c r="C21" s="294" t="s">
        <v>28</v>
      </c>
      <c r="D21" s="295"/>
      <c r="E21" s="297"/>
      <c r="F21" s="297"/>
      <c r="G21" s="297"/>
      <c r="H21" s="297"/>
      <c r="I21" s="297"/>
      <c r="J21" s="298">
        <f>857.58/1000</f>
        <v>0.85758000000000001</v>
      </c>
      <c r="K21" s="304" t="s">
        <v>469</v>
      </c>
      <c r="L21" s="321"/>
      <c r="M21" s="322"/>
      <c r="N21" s="322"/>
      <c r="O21" s="322"/>
      <c r="P21" s="322"/>
      <c r="Q21" s="322"/>
      <c r="Y21" s="301" t="s">
        <v>470</v>
      </c>
      <c r="Z21" s="302">
        <f t="shared" si="0"/>
        <v>0.85758000000000001</v>
      </c>
    </row>
    <row r="22" spans="3:26" ht="65.25" customHeight="1" x14ac:dyDescent="0.25">
      <c r="C22" s="294" t="s">
        <v>471</v>
      </c>
      <c r="D22" s="295" t="s">
        <v>472</v>
      </c>
      <c r="E22" s="323">
        <v>3400</v>
      </c>
      <c r="F22" s="323">
        <v>200</v>
      </c>
      <c r="G22" s="323">
        <v>0</v>
      </c>
      <c r="H22" s="323">
        <v>0</v>
      </c>
      <c r="I22" s="323">
        <v>31.87</v>
      </c>
      <c r="J22" s="309">
        <f t="shared" ref="J22:J41" si="3">SUM(E22:I22)/1000</f>
        <v>3.6318699999999997</v>
      </c>
      <c r="K22" s="324" t="s">
        <v>473</v>
      </c>
      <c r="L22" s="321"/>
      <c r="M22" s="322"/>
      <c r="N22" s="322"/>
      <c r="O22" s="322"/>
      <c r="P22" s="322"/>
      <c r="Q22" s="322"/>
      <c r="Y22" s="301" t="s">
        <v>474</v>
      </c>
      <c r="Z22" s="302">
        <f t="shared" si="0"/>
        <v>3.6318699999999997</v>
      </c>
    </row>
    <row r="23" spans="3:26" ht="61.5" customHeight="1" x14ac:dyDescent="0.25">
      <c r="C23" s="294" t="s">
        <v>475</v>
      </c>
      <c r="D23" s="295" t="s">
        <v>476</v>
      </c>
      <c r="E23" s="325">
        <v>0.89</v>
      </c>
      <c r="F23" s="325">
        <v>4.4699999999999997E-2</v>
      </c>
      <c r="G23" s="325">
        <v>2.3099999999999999E-2</v>
      </c>
      <c r="H23" s="325">
        <v>0.315</v>
      </c>
      <c r="I23" s="325">
        <v>0.19</v>
      </c>
      <c r="J23" s="326">
        <f t="shared" si="3"/>
        <v>1.4627999999999998E-3</v>
      </c>
      <c r="K23" s="304" t="s">
        <v>477</v>
      </c>
      <c r="L23" s="321"/>
      <c r="M23" s="322"/>
      <c r="N23" s="322"/>
      <c r="O23" s="322"/>
      <c r="P23" s="322"/>
      <c r="Q23" s="322"/>
      <c r="Y23" s="287" t="s">
        <v>478</v>
      </c>
      <c r="Z23" s="327">
        <f>SUM(J23:J41)</f>
        <v>65.717637319999994</v>
      </c>
    </row>
    <row r="24" spans="3:26" ht="61.5" customHeight="1" x14ac:dyDescent="0.25">
      <c r="C24" s="294" t="s">
        <v>479</v>
      </c>
      <c r="D24" s="308" t="s">
        <v>476</v>
      </c>
      <c r="E24" s="297">
        <v>0.59</v>
      </c>
      <c r="F24" s="297">
        <v>3.2199999999999999E-2</v>
      </c>
      <c r="G24" s="297">
        <v>1.6500000000000001E-2</v>
      </c>
      <c r="H24" s="297">
        <v>0.158</v>
      </c>
      <c r="I24" s="297">
        <v>0.16</v>
      </c>
      <c r="J24" s="328">
        <f t="shared" si="3"/>
        <v>9.567E-4</v>
      </c>
      <c r="K24" s="304" t="s">
        <v>480</v>
      </c>
      <c r="L24" s="321"/>
    </row>
    <row r="25" spans="3:26" ht="61.5" customHeight="1" x14ac:dyDescent="0.25">
      <c r="C25" s="294" t="s">
        <v>481</v>
      </c>
      <c r="D25" s="308" t="s">
        <v>476</v>
      </c>
      <c r="E25" s="297" t="s">
        <v>482</v>
      </c>
      <c r="F25" s="297">
        <v>3.3099999999999997E-2</v>
      </c>
      <c r="G25" s="297">
        <v>9.7199999999999995E-3</v>
      </c>
      <c r="H25" s="297">
        <v>0.24199999999999999</v>
      </c>
      <c r="I25" s="297" t="s">
        <v>483</v>
      </c>
      <c r="J25" s="328">
        <f t="shared" si="3"/>
        <v>2.8481999999999997E-4</v>
      </c>
      <c r="K25" s="304" t="s">
        <v>484</v>
      </c>
      <c r="L25" s="321"/>
    </row>
    <row r="26" spans="3:26" ht="61.5" customHeight="1" x14ac:dyDescent="0.25">
      <c r="C26" s="294" t="s">
        <v>485</v>
      </c>
      <c r="D26" s="308" t="s">
        <v>486</v>
      </c>
      <c r="E26" s="297">
        <v>3930</v>
      </c>
      <c r="F26" s="297">
        <v>50.2</v>
      </c>
      <c r="G26" s="297">
        <v>232</v>
      </c>
      <c r="H26" s="297">
        <v>342.2</v>
      </c>
      <c r="I26" s="297">
        <v>532</v>
      </c>
      <c r="J26" s="309">
        <f t="shared" si="3"/>
        <v>5.0863999999999994</v>
      </c>
      <c r="K26" s="304" t="s">
        <v>487</v>
      </c>
      <c r="L26" s="321"/>
    </row>
    <row r="27" spans="3:26" ht="35.1" customHeight="1" x14ac:dyDescent="0.25">
      <c r="C27" s="294" t="s">
        <v>488</v>
      </c>
      <c r="D27" s="308" t="s">
        <v>486</v>
      </c>
      <c r="E27" s="297">
        <v>1135</v>
      </c>
      <c r="F27" s="297">
        <v>39.200000000000003</v>
      </c>
      <c r="G27" s="297">
        <v>21.8</v>
      </c>
      <c r="H27" s="297">
        <v>961</v>
      </c>
      <c r="I27" s="297">
        <v>141</v>
      </c>
      <c r="J27" s="309">
        <f t="shared" si="3"/>
        <v>2.298</v>
      </c>
      <c r="K27" s="304" t="s">
        <v>489</v>
      </c>
      <c r="L27" s="321"/>
    </row>
    <row r="28" spans="3:26" ht="35.1" customHeight="1" x14ac:dyDescent="0.25">
      <c r="C28" s="294" t="s">
        <v>490</v>
      </c>
      <c r="D28" s="308" t="s">
        <v>486</v>
      </c>
      <c r="E28" s="297">
        <v>1535</v>
      </c>
      <c r="F28" s="297">
        <v>63.7</v>
      </c>
      <c r="G28" s="297">
        <v>27.7</v>
      </c>
      <c r="H28" s="297">
        <v>596</v>
      </c>
      <c r="I28" s="297">
        <v>190</v>
      </c>
      <c r="J28" s="309">
        <f t="shared" si="3"/>
        <v>2.4123999999999999</v>
      </c>
      <c r="K28" s="304" t="s">
        <v>489</v>
      </c>
      <c r="L28" s="321"/>
    </row>
    <row r="29" spans="3:26" ht="35.1" customHeight="1" x14ac:dyDescent="0.25">
      <c r="C29" s="294" t="s">
        <v>491</v>
      </c>
      <c r="D29" s="308" t="s">
        <v>486</v>
      </c>
      <c r="E29" s="297">
        <v>1535</v>
      </c>
      <c r="F29" s="297">
        <v>63.7</v>
      </c>
      <c r="G29" s="297">
        <v>27.7</v>
      </c>
      <c r="H29" s="297">
        <v>596</v>
      </c>
      <c r="I29" s="297">
        <v>190</v>
      </c>
      <c r="J29" s="309">
        <f t="shared" si="3"/>
        <v>2.4123999999999999</v>
      </c>
      <c r="K29" s="304" t="s">
        <v>489</v>
      </c>
      <c r="L29" s="321"/>
    </row>
    <row r="30" spans="3:26" ht="35.1" customHeight="1" x14ac:dyDescent="0.25">
      <c r="C30" s="294" t="s">
        <v>492</v>
      </c>
      <c r="D30" s="308" t="s">
        <v>486</v>
      </c>
      <c r="E30" s="297">
        <v>2767</v>
      </c>
      <c r="F30" s="297">
        <v>22</v>
      </c>
      <c r="G30" s="297">
        <v>44.6</v>
      </c>
      <c r="H30" s="297">
        <v>230</v>
      </c>
      <c r="I30" s="297">
        <v>298</v>
      </c>
      <c r="J30" s="309">
        <f t="shared" si="3"/>
        <v>3.3615999999999997</v>
      </c>
      <c r="K30" s="304" t="s">
        <v>489</v>
      </c>
      <c r="L30" s="321"/>
    </row>
    <row r="31" spans="3:26" ht="35.1" customHeight="1" x14ac:dyDescent="0.25">
      <c r="C31" s="294" t="s">
        <v>493</v>
      </c>
      <c r="D31" s="308" t="s">
        <v>486</v>
      </c>
      <c r="E31" s="297">
        <v>1582</v>
      </c>
      <c r="F31" s="297">
        <v>59.1</v>
      </c>
      <c r="G31" s="297">
        <v>26.9</v>
      </c>
      <c r="H31" s="297">
        <v>961</v>
      </c>
      <c r="I31" s="297">
        <v>172</v>
      </c>
      <c r="J31" s="309">
        <f t="shared" si="3"/>
        <v>2.8010000000000002</v>
      </c>
      <c r="K31" s="304" t="s">
        <v>489</v>
      </c>
      <c r="L31" s="321"/>
    </row>
    <row r="32" spans="3:26" ht="35.1" customHeight="1" x14ac:dyDescent="0.25">
      <c r="C32" s="294" t="s">
        <v>494</v>
      </c>
      <c r="D32" s="308" t="s">
        <v>486</v>
      </c>
      <c r="E32" s="297">
        <v>2240</v>
      </c>
      <c r="F32" s="297">
        <v>107</v>
      </c>
      <c r="G32" s="297">
        <v>37.799999999999997</v>
      </c>
      <c r="H32" s="297">
        <v>596</v>
      </c>
      <c r="I32" s="297">
        <v>247</v>
      </c>
      <c r="J32" s="309">
        <f t="shared" si="3"/>
        <v>3.2278000000000002</v>
      </c>
      <c r="K32" s="304" t="s">
        <v>489</v>
      </c>
      <c r="L32" s="321"/>
    </row>
    <row r="33" spans="3:12" ht="35.1" customHeight="1" x14ac:dyDescent="0.25">
      <c r="C33" s="294" t="s">
        <v>495</v>
      </c>
      <c r="D33" s="308" t="s">
        <v>486</v>
      </c>
      <c r="E33" s="297">
        <v>2886</v>
      </c>
      <c r="F33" s="297">
        <v>130</v>
      </c>
      <c r="G33" s="297">
        <v>45.3</v>
      </c>
      <c r="H33" s="297">
        <v>398</v>
      </c>
      <c r="I33" s="297">
        <v>293</v>
      </c>
      <c r="J33" s="309">
        <f t="shared" si="3"/>
        <v>3.7523</v>
      </c>
      <c r="K33" s="304" t="s">
        <v>489</v>
      </c>
      <c r="L33" s="321"/>
    </row>
    <row r="34" spans="3:12" ht="35.1" customHeight="1" x14ac:dyDescent="0.25">
      <c r="C34" s="329" t="s">
        <v>496</v>
      </c>
      <c r="D34" s="308" t="s">
        <v>486</v>
      </c>
      <c r="E34" s="297">
        <v>4276</v>
      </c>
      <c r="F34" s="297">
        <v>80.599999999999994</v>
      </c>
      <c r="G34" s="297">
        <v>64.8</v>
      </c>
      <c r="H34" s="297">
        <v>230</v>
      </c>
      <c r="I34" s="297">
        <v>380</v>
      </c>
      <c r="J34" s="309">
        <f t="shared" si="3"/>
        <v>5.0314000000000005</v>
      </c>
      <c r="K34" s="304" t="s">
        <v>489</v>
      </c>
      <c r="L34" s="321"/>
    </row>
    <row r="35" spans="3:12" ht="35.1" customHeight="1" x14ac:dyDescent="0.25">
      <c r="C35" s="329" t="s">
        <v>497</v>
      </c>
      <c r="D35" s="308" t="s">
        <v>486</v>
      </c>
      <c r="E35" s="297">
        <v>5819</v>
      </c>
      <c r="F35" s="297">
        <v>201</v>
      </c>
      <c r="G35" s="297">
        <v>83.6</v>
      </c>
      <c r="H35" s="297">
        <v>146</v>
      </c>
      <c r="I35" s="297">
        <v>456</v>
      </c>
      <c r="J35" s="309">
        <f t="shared" si="3"/>
        <v>6.7056000000000004</v>
      </c>
      <c r="K35" s="304" t="s">
        <v>489</v>
      </c>
      <c r="L35" s="321"/>
    </row>
    <row r="36" spans="3:12" ht="35.1" customHeight="1" x14ac:dyDescent="0.25">
      <c r="C36" s="329" t="s">
        <v>498</v>
      </c>
      <c r="D36" s="308" t="s">
        <v>486</v>
      </c>
      <c r="E36" s="297">
        <v>2362</v>
      </c>
      <c r="F36" s="297">
        <v>34.1</v>
      </c>
      <c r="G36" s="297">
        <v>37.9</v>
      </c>
      <c r="H36" s="297">
        <v>961</v>
      </c>
      <c r="I36" s="297">
        <v>239</v>
      </c>
      <c r="J36" s="309">
        <f t="shared" si="3"/>
        <v>3.6339999999999999</v>
      </c>
      <c r="K36" s="304" t="s">
        <v>489</v>
      </c>
      <c r="L36" s="321"/>
    </row>
    <row r="37" spans="3:12" ht="35.1" customHeight="1" x14ac:dyDescent="0.25">
      <c r="C37" s="329" t="s">
        <v>499</v>
      </c>
      <c r="D37" s="308" t="s">
        <v>486</v>
      </c>
      <c r="E37" s="297">
        <v>3501</v>
      </c>
      <c r="F37" s="297">
        <v>139</v>
      </c>
      <c r="G37" s="297">
        <v>53.5</v>
      </c>
      <c r="H37" s="297">
        <v>961</v>
      </c>
      <c r="I37" s="297">
        <v>330</v>
      </c>
      <c r="J37" s="309">
        <f t="shared" si="3"/>
        <v>4.9844999999999997</v>
      </c>
      <c r="K37" s="304" t="s">
        <v>489</v>
      </c>
      <c r="L37" s="321"/>
    </row>
    <row r="38" spans="3:12" ht="35.1" customHeight="1" x14ac:dyDescent="0.25">
      <c r="C38" s="329" t="s">
        <v>500</v>
      </c>
      <c r="D38" s="308" t="s">
        <v>486</v>
      </c>
      <c r="E38" s="297">
        <v>4528</v>
      </c>
      <c r="F38" s="297">
        <v>116</v>
      </c>
      <c r="G38" s="297">
        <v>75.3</v>
      </c>
      <c r="H38" s="297">
        <v>961</v>
      </c>
      <c r="I38" s="297">
        <v>409</v>
      </c>
      <c r="J38" s="309">
        <f t="shared" si="3"/>
        <v>6.0893000000000006</v>
      </c>
      <c r="K38" s="304" t="s">
        <v>489</v>
      </c>
      <c r="L38" s="321"/>
    </row>
    <row r="39" spans="3:12" ht="35.1" customHeight="1" x14ac:dyDescent="0.25">
      <c r="C39" s="329" t="s">
        <v>501</v>
      </c>
      <c r="D39" s="308" t="s">
        <v>486</v>
      </c>
      <c r="E39" s="297">
        <v>5776</v>
      </c>
      <c r="F39" s="297">
        <v>30.8</v>
      </c>
      <c r="G39" s="297">
        <v>59.1</v>
      </c>
      <c r="H39" s="297">
        <v>24.8</v>
      </c>
      <c r="I39" s="297">
        <v>181</v>
      </c>
      <c r="J39" s="309">
        <f t="shared" si="3"/>
        <v>6.0717000000000008</v>
      </c>
      <c r="K39" s="304" t="s">
        <v>489</v>
      </c>
      <c r="L39" s="321"/>
    </row>
    <row r="40" spans="3:12" ht="35.1" customHeight="1" x14ac:dyDescent="0.25">
      <c r="C40" s="329" t="s">
        <v>502</v>
      </c>
      <c r="D40" s="308" t="s">
        <v>486</v>
      </c>
      <c r="E40" s="297">
        <v>7453</v>
      </c>
      <c r="F40" s="297">
        <v>70.7</v>
      </c>
      <c r="G40" s="297">
        <v>75.099999999999994</v>
      </c>
      <c r="H40" s="297">
        <v>19.399999999999999</v>
      </c>
      <c r="I40" s="297">
        <v>217</v>
      </c>
      <c r="J40" s="309">
        <f t="shared" si="3"/>
        <v>7.8351999999999995</v>
      </c>
      <c r="K40" s="304" t="s">
        <v>489</v>
      </c>
      <c r="L40" s="321"/>
    </row>
    <row r="41" spans="3:12" ht="34.5" x14ac:dyDescent="0.25">
      <c r="C41" s="329" t="s">
        <v>503</v>
      </c>
      <c r="D41" s="308" t="s">
        <v>486</v>
      </c>
      <c r="E41" s="297">
        <v>12.1</v>
      </c>
      <c r="F41" s="297">
        <v>0.39600000000000002</v>
      </c>
      <c r="G41" s="297">
        <v>0</v>
      </c>
      <c r="H41" s="297">
        <v>3.6999999999999998E-2</v>
      </c>
      <c r="I41" s="297">
        <v>-1.2</v>
      </c>
      <c r="J41" s="309">
        <f t="shared" si="3"/>
        <v>1.1333000000000003E-2</v>
      </c>
      <c r="K41" s="304" t="s">
        <v>504</v>
      </c>
      <c r="L41" s="321"/>
    </row>
    <row r="42" spans="3:12" ht="117.75" customHeight="1" x14ac:dyDescent="0.25">
      <c r="C42" s="330" t="s">
        <v>505</v>
      </c>
      <c r="E42" s="331">
        <f t="shared" ref="E42:H42" si="4">SUM(E7:E41)</f>
        <v>1334777.7</v>
      </c>
      <c r="F42" s="331">
        <f t="shared" si="4"/>
        <v>88641.495999999999</v>
      </c>
      <c r="G42" s="331">
        <f t="shared" si="4"/>
        <v>22841.845319999993</v>
      </c>
      <c r="H42" s="331">
        <f t="shared" si="4"/>
        <v>38050449.132999994</v>
      </c>
      <c r="I42" s="331">
        <f>SUM(I7:I41)</f>
        <v>-134550.86543000001</v>
      </c>
      <c r="J42" s="331">
        <f>SUM(J7:J41)</f>
        <v>39363.016888889993</v>
      </c>
    </row>
    <row r="56" spans="3:17" ht="17.25" x14ac:dyDescent="0.3">
      <c r="D56" s="593"/>
      <c r="E56" s="593"/>
      <c r="F56" s="593"/>
      <c r="G56" s="593"/>
      <c r="H56" s="593"/>
      <c r="I56" s="593"/>
      <c r="J56" s="593"/>
      <c r="K56" s="593"/>
      <c r="L56" s="593"/>
    </row>
    <row r="59" spans="3:17" ht="15" customHeight="1" x14ac:dyDescent="0.25">
      <c r="C59" s="332"/>
      <c r="D59" s="332"/>
      <c r="E59" s="332"/>
      <c r="F59" s="332"/>
      <c r="G59" s="332"/>
      <c r="H59" s="332"/>
      <c r="I59" s="332"/>
      <c r="J59" s="332"/>
      <c r="K59" s="332"/>
      <c r="L59" s="332"/>
      <c r="M59" s="332"/>
      <c r="N59" s="332"/>
      <c r="O59" s="332"/>
      <c r="P59" s="332"/>
      <c r="Q59" s="332"/>
    </row>
    <row r="60" spans="3:17" ht="15" customHeight="1" x14ac:dyDescent="0.25">
      <c r="C60" s="332"/>
      <c r="D60" s="332"/>
      <c r="E60" s="332"/>
      <c r="F60" s="332"/>
      <c r="G60" s="332"/>
      <c r="H60" s="332"/>
      <c r="I60" s="332"/>
      <c r="J60" s="332"/>
      <c r="K60" s="332"/>
      <c r="L60" s="332"/>
      <c r="M60" s="332"/>
      <c r="N60" s="332"/>
      <c r="O60" s="332"/>
      <c r="P60" s="332"/>
      <c r="Q60" s="332"/>
    </row>
    <row r="61" spans="3:17" ht="20.25" customHeight="1" x14ac:dyDescent="0.25">
      <c r="C61" s="332"/>
      <c r="D61" s="332"/>
      <c r="E61" s="332"/>
      <c r="F61" s="332"/>
      <c r="G61" s="332"/>
      <c r="H61" s="332"/>
      <c r="I61" s="332"/>
      <c r="J61" s="332"/>
      <c r="K61" s="332"/>
      <c r="L61" s="332"/>
      <c r="M61" s="332"/>
      <c r="N61" s="332"/>
      <c r="O61" s="332"/>
      <c r="P61" s="332"/>
      <c r="Q61" s="332"/>
    </row>
    <row r="89" spans="3:17" ht="17.25" x14ac:dyDescent="0.3">
      <c r="D89" s="593"/>
      <c r="E89" s="593"/>
      <c r="F89" s="593"/>
      <c r="G89" s="593"/>
      <c r="H89" s="593"/>
      <c r="I89" s="593"/>
      <c r="J89" s="593"/>
      <c r="K89" s="593"/>
      <c r="L89" s="593"/>
    </row>
    <row r="91" spans="3:17" ht="15" customHeight="1" x14ac:dyDescent="0.25">
      <c r="C91" s="332"/>
      <c r="D91" s="332"/>
      <c r="E91" s="332"/>
      <c r="F91" s="332"/>
      <c r="G91" s="332"/>
      <c r="H91" s="332"/>
      <c r="I91" s="332"/>
      <c r="J91" s="332"/>
      <c r="K91" s="332"/>
      <c r="L91" s="332"/>
      <c r="M91" s="332"/>
      <c r="N91" s="332"/>
      <c r="O91" s="332"/>
      <c r="P91" s="332"/>
      <c r="Q91" s="332"/>
    </row>
    <row r="92" spans="3:17" ht="15" customHeight="1" x14ac:dyDescent="0.25">
      <c r="C92" s="332"/>
      <c r="D92" s="332"/>
      <c r="E92" s="332"/>
      <c r="F92" s="332"/>
      <c r="G92" s="332"/>
      <c r="H92" s="332"/>
      <c r="I92" s="332"/>
      <c r="J92" s="332"/>
      <c r="K92" s="332"/>
      <c r="L92" s="332"/>
      <c r="M92" s="332"/>
      <c r="N92" s="332"/>
      <c r="O92" s="332"/>
      <c r="P92" s="332"/>
      <c r="Q92" s="332"/>
    </row>
    <row r="93" spans="3:17" ht="15" customHeight="1" x14ac:dyDescent="0.25">
      <c r="C93" s="332"/>
      <c r="D93" s="332"/>
      <c r="E93" s="332"/>
      <c r="F93" s="332"/>
      <c r="G93" s="332"/>
      <c r="H93" s="332"/>
      <c r="I93" s="332"/>
      <c r="J93" s="332"/>
      <c r="K93" s="332"/>
      <c r="L93" s="332"/>
      <c r="M93" s="332"/>
      <c r="N93" s="332"/>
      <c r="O93" s="332"/>
      <c r="P93" s="332"/>
      <c r="Q93" s="332"/>
    </row>
    <row r="94" spans="3:17" ht="15" customHeight="1" x14ac:dyDescent="0.25">
      <c r="C94" s="332"/>
      <c r="D94" s="332"/>
      <c r="E94" s="332"/>
      <c r="F94" s="332"/>
      <c r="G94" s="332"/>
      <c r="H94" s="332"/>
      <c r="I94" s="332"/>
      <c r="J94" s="332"/>
      <c r="K94" s="332"/>
      <c r="L94" s="332"/>
      <c r="M94" s="332"/>
      <c r="N94" s="332"/>
      <c r="O94" s="332"/>
      <c r="P94" s="332"/>
      <c r="Q94" s="332"/>
    </row>
    <row r="95" spans="3:17" ht="15" customHeight="1" x14ac:dyDescent="0.25">
      <c r="C95" s="332"/>
      <c r="D95" s="332"/>
      <c r="E95" s="332"/>
      <c r="F95" s="332"/>
      <c r="G95" s="332"/>
      <c r="H95" s="332"/>
      <c r="I95" s="332"/>
      <c r="J95" s="332"/>
      <c r="K95" s="332"/>
      <c r="L95" s="332"/>
      <c r="M95" s="332"/>
      <c r="N95" s="332"/>
      <c r="O95" s="332"/>
      <c r="P95" s="332"/>
      <c r="Q95" s="332"/>
    </row>
    <row r="96" spans="3:17" ht="15" customHeight="1" x14ac:dyDescent="0.25">
      <c r="C96" s="332"/>
      <c r="D96" s="332"/>
      <c r="E96" s="332"/>
      <c r="F96" s="332"/>
      <c r="G96" s="332"/>
      <c r="H96" s="332"/>
      <c r="I96" s="332"/>
      <c r="J96" s="332"/>
      <c r="K96" s="332"/>
      <c r="L96" s="332"/>
      <c r="M96" s="332"/>
      <c r="N96" s="332"/>
      <c r="O96" s="332"/>
      <c r="P96" s="332"/>
      <c r="Q96" s="332"/>
    </row>
    <row r="97" spans="3:19" ht="15" customHeight="1" x14ac:dyDescent="0.25">
      <c r="C97" s="332"/>
      <c r="D97" s="332"/>
      <c r="E97" s="332"/>
      <c r="F97" s="332"/>
      <c r="G97" s="332"/>
      <c r="H97" s="332"/>
      <c r="I97" s="332"/>
      <c r="J97" s="332"/>
      <c r="K97" s="332"/>
      <c r="L97" s="332"/>
      <c r="M97" s="332"/>
      <c r="N97" s="332"/>
      <c r="O97" s="332"/>
      <c r="P97" s="332"/>
      <c r="Q97" s="332"/>
    </row>
    <row r="98" spans="3:19" ht="15" customHeight="1" x14ac:dyDescent="0.25">
      <c r="C98" s="332"/>
      <c r="D98" s="332"/>
      <c r="E98" s="332"/>
      <c r="F98" s="332"/>
      <c r="G98" s="332"/>
      <c r="H98" s="332"/>
      <c r="I98" s="332"/>
      <c r="J98" s="332"/>
      <c r="K98" s="332"/>
      <c r="L98" s="332"/>
      <c r="M98" s="332"/>
      <c r="N98" s="332"/>
      <c r="O98" s="332"/>
      <c r="P98" s="332"/>
      <c r="Q98" s="332"/>
    </row>
    <row r="99" spans="3:19" ht="15" customHeight="1" x14ac:dyDescent="0.25">
      <c r="C99" s="332"/>
      <c r="D99" s="332"/>
      <c r="E99" s="332"/>
      <c r="F99" s="332"/>
      <c r="G99" s="332"/>
      <c r="H99" s="332"/>
      <c r="I99" s="332"/>
      <c r="J99" s="332"/>
      <c r="K99" s="332"/>
      <c r="L99" s="332"/>
      <c r="M99" s="332"/>
      <c r="N99" s="332"/>
      <c r="O99" s="332"/>
      <c r="P99" s="332"/>
      <c r="Q99" s="332"/>
    </row>
    <row r="100" spans="3:19" ht="15" customHeight="1" x14ac:dyDescent="0.25">
      <c r="C100" s="332"/>
      <c r="D100" s="332"/>
      <c r="E100" s="332"/>
      <c r="F100" s="332"/>
      <c r="G100" s="332"/>
      <c r="H100" s="332"/>
      <c r="I100" s="332"/>
      <c r="J100" s="332"/>
      <c r="K100" s="332"/>
      <c r="L100" s="332"/>
      <c r="M100" s="332"/>
      <c r="N100" s="332"/>
      <c r="O100" s="332"/>
      <c r="P100" s="332"/>
      <c r="Q100" s="332"/>
    </row>
    <row r="101" spans="3:19" ht="15" customHeight="1" x14ac:dyDescent="0.25">
      <c r="C101" s="332"/>
      <c r="D101" s="332"/>
      <c r="E101" s="332"/>
      <c r="F101" s="332"/>
      <c r="G101" s="332"/>
      <c r="H101" s="332"/>
      <c r="I101" s="332"/>
      <c r="J101" s="332"/>
      <c r="K101" s="332"/>
      <c r="L101" s="332"/>
      <c r="M101" s="332"/>
      <c r="N101" s="332"/>
      <c r="O101" s="332"/>
      <c r="P101" s="332"/>
      <c r="Q101" s="332"/>
    </row>
    <row r="104" spans="3:19" x14ac:dyDescent="0.25">
      <c r="S104" s="333"/>
    </row>
    <row r="105" spans="3:19" x14ac:dyDescent="0.25">
      <c r="S105" s="333"/>
    </row>
    <row r="106" spans="3:19" x14ac:dyDescent="0.25">
      <c r="S106" s="333"/>
    </row>
    <row r="107" spans="3:19" x14ac:dyDescent="0.25">
      <c r="S107" s="333"/>
    </row>
    <row r="108" spans="3:19" x14ac:dyDescent="0.25">
      <c r="S108" s="333"/>
    </row>
    <row r="123" spans="4:12" ht="17.25" x14ac:dyDescent="0.3">
      <c r="D123" s="593"/>
      <c r="E123" s="593"/>
      <c r="F123" s="593"/>
      <c r="G123" s="593"/>
      <c r="H123" s="593"/>
      <c r="I123" s="593"/>
      <c r="J123" s="593"/>
      <c r="K123" s="593"/>
      <c r="L123" s="593"/>
    </row>
  </sheetData>
  <sheetProtection algorithmName="SHA-512" hashValue="nvPP47foiQci/TElojkUk3ok4M1oMutRaQZ+P/zYqsaRhpraY59v/p3yp9+puwCcHWr7pZU7TItf4JV+CP3CnQ==" saltValue="l9p8SPriqZcysy/UbRlgtA==" spinCount="100000" sheet="1" selectLockedCells="1" selectUnlockedCells="1"/>
  <autoFilter ref="C6:L19" xr:uid="{BB341467-A126-4633-AE48-57D797F9D720}"/>
  <mergeCells count="5">
    <mergeCell ref="A1:F1"/>
    <mergeCell ref="E16:F16"/>
    <mergeCell ref="D56:L56"/>
    <mergeCell ref="D89:L89"/>
    <mergeCell ref="D123:L123"/>
  </mergeCells>
  <hyperlinks>
    <hyperlink ref="K12" r:id="rId1" xr:uid="{2D5F5178-C70D-451C-8128-7DCC9A113B12}"/>
    <hyperlink ref="K13" r:id="rId2" xr:uid="{6A4B7F1C-0F86-49E6-BDA2-60D87D102474}"/>
    <hyperlink ref="K14" r:id="rId3" xr:uid="{686B4029-480C-40BE-B0CB-CDE2107E1C3F}"/>
    <hyperlink ref="K18" r:id="rId4" xr:uid="{A6B94D84-3DD3-4345-8C08-753AE5C5DFAA}"/>
    <hyperlink ref="K9" r:id="rId5" xr:uid="{6BAAA3C9-99A4-4D37-BB42-2BA40F53EDBF}"/>
    <hyperlink ref="K10" r:id="rId6" xr:uid="{2A196FE2-A2C1-4B3C-8916-1AEBEF829C69}"/>
    <hyperlink ref="K19" r:id="rId7" xr:uid="{D7253A31-9528-4495-B3D6-C7CB60836F33}"/>
    <hyperlink ref="K8" r:id="rId8" xr:uid="{B8462EF7-D344-4DE0-BEF1-E7E8DFAC6BB8}"/>
    <hyperlink ref="K15" r:id="rId9" xr:uid="{6B4C5ED6-F07A-44B6-8C81-D3985E2A44B9}"/>
    <hyperlink ref="K17" r:id="rId10" xr:uid="{641258B6-A7BD-4A3C-85EB-73B9FE0A7DFC}"/>
    <hyperlink ref="K11" r:id="rId11" xr:uid="{3AAAB0D2-2DA8-4822-B2E1-1D564D9DE33A}"/>
    <hyperlink ref="K7" location="'FE-DAP'!O5" display="Transformador SIEMENS" xr:uid="{FD2D86D9-AA63-4C0B-BADE-7BBC416D74D6}"/>
    <hyperlink ref="K23" r:id="rId12" xr:uid="{30561E0F-140E-4A1B-A612-1224039ED2EB}"/>
    <hyperlink ref="K24" r:id="rId13" xr:uid="{11FCAF6E-F12F-40E6-ABEC-0D1103DA352C}"/>
    <hyperlink ref="K25" r:id="rId14" xr:uid="{248F821B-D56E-4D8A-BEFD-35C8CA1A5AEF}"/>
    <hyperlink ref="K26" r:id="rId15" xr:uid="{4161BF33-7657-4DC8-9EBD-2FAA472AEE83}"/>
    <hyperlink ref="K27" r:id="rId16" xr:uid="{A098321D-B77C-4B62-83A7-F96C9EB7A4CD}"/>
    <hyperlink ref="K28" r:id="rId17" xr:uid="{6A848B96-C84D-4C50-9771-94C00CA23A87}"/>
    <hyperlink ref="K29" r:id="rId18" xr:uid="{38D80560-9177-498F-8265-D808904EFC05}"/>
    <hyperlink ref="K30" r:id="rId19" xr:uid="{25B20A7E-F1EA-486E-84F0-3A04F9A7505C}"/>
    <hyperlink ref="K31" r:id="rId20" xr:uid="{91CC5EC7-BC04-4ADB-A68F-0E08F637A871}"/>
    <hyperlink ref="K32" r:id="rId21" xr:uid="{FF63BC4B-CCD5-4143-AB79-6BDC8E3E6CB4}"/>
    <hyperlink ref="K33" r:id="rId22" xr:uid="{EE2C9650-FC11-455F-9E58-1743C8F657A1}"/>
    <hyperlink ref="K34" r:id="rId23" xr:uid="{4F90ACBB-A16D-4A6F-A094-3908E8C16E3C}"/>
    <hyperlink ref="K35" r:id="rId24" xr:uid="{D15AF352-3012-4319-8E06-AB9E89ABE337}"/>
    <hyperlink ref="K36" r:id="rId25" xr:uid="{C14D3E9F-A2E3-4E92-838A-99F2F7ABBB2E}"/>
    <hyperlink ref="K37" r:id="rId26" xr:uid="{AD4928E8-676C-4391-A1DA-7AFD3B3697C4}"/>
    <hyperlink ref="K38" r:id="rId27" xr:uid="{048A0C1B-C6D4-49B0-8B95-CCA298D0593C}"/>
    <hyperlink ref="K39" r:id="rId28" xr:uid="{AFB6CDE3-4B95-452B-8ABD-913F5DF46637}"/>
    <hyperlink ref="K40" r:id="rId29" xr:uid="{C7FE33BF-AC86-4C6D-8930-ED5C97C6F8D0}"/>
    <hyperlink ref="K20" r:id="rId30" xr:uid="{35303DFE-698F-4785-BE26-615C12047C8C}"/>
    <hyperlink ref="K21" r:id="rId31" xr:uid="{7E4C03D0-11B3-47C5-8CEF-F086998B06A6}"/>
    <hyperlink ref="K41" r:id="rId32" xr:uid="{706781DC-81CB-4E2C-BB74-6C2A66DBEBE4}"/>
    <hyperlink ref="K16" location="'FE-DAP'!F64" display="Descarregador de sobretensão" xr:uid="{7077F9C4-53BE-48D9-AD7E-ABA8D440701D}"/>
  </hyperlinks>
  <pageMargins left="0.25" right="0.25" top="0.75" bottom="0.75" header="0.3" footer="0.3"/>
  <pageSetup paperSize="9" scale="63" fitToHeight="0" orientation="landscape" r:id="rId33"/>
  <drawing r:id="rId34"/>
  <legacyDrawing r:id="rId3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olha15">
    <tabColor rgb="FF7030A0"/>
  </sheetPr>
  <dimension ref="A1:R87"/>
  <sheetViews>
    <sheetView showGridLines="0" topLeftCell="A20" workbookViewId="0">
      <selection activeCell="I10" sqref="I10"/>
    </sheetView>
  </sheetViews>
  <sheetFormatPr defaultRowHeight="15" x14ac:dyDescent="0.25"/>
  <cols>
    <col min="1" max="1" width="43" bestFit="1" customWidth="1"/>
    <col min="2" max="2" width="11.42578125" style="28" bestFit="1" customWidth="1"/>
    <col min="3" max="3" width="17.5703125" style="28" customWidth="1"/>
    <col min="4" max="4" width="14" style="28" customWidth="1"/>
    <col min="5" max="5" width="15.42578125" style="28" customWidth="1"/>
    <col min="6" max="6" width="18.140625" style="28" customWidth="1"/>
    <col min="7" max="7" width="12.85546875" style="28" customWidth="1"/>
    <col min="8" max="8" width="22.85546875" bestFit="1" customWidth="1"/>
    <col min="9" max="9" width="16.85546875" customWidth="1"/>
    <col min="10" max="10" width="18.7109375" customWidth="1"/>
    <col min="11" max="11" width="24.140625" bestFit="1" customWidth="1"/>
    <col min="12" max="12" width="12.85546875" customWidth="1"/>
    <col min="13" max="13" width="8.85546875" bestFit="1" customWidth="1"/>
    <col min="14" max="15" width="9.5703125" bestFit="1" customWidth="1"/>
    <col min="16" max="16" width="8.85546875" bestFit="1" customWidth="1"/>
  </cols>
  <sheetData>
    <row r="1" spans="1:17" s="201" customFormat="1" ht="22.5" customHeight="1" x14ac:dyDescent="0.25">
      <c r="A1" s="534" t="s">
        <v>13</v>
      </c>
      <c r="B1" s="600"/>
      <c r="C1" s="600"/>
      <c r="D1" s="600"/>
      <c r="E1" s="600"/>
      <c r="F1" s="600"/>
      <c r="G1" s="600"/>
      <c r="H1" s="600"/>
      <c r="I1" s="600"/>
      <c r="J1" s="600"/>
      <c r="K1" s="600"/>
      <c r="L1" s="600"/>
      <c r="M1" s="600"/>
      <c r="N1" s="600"/>
      <c r="O1" s="600"/>
      <c r="P1" s="600"/>
      <c r="Q1" s="600"/>
    </row>
    <row r="2" spans="1:17" s="3" customFormat="1" ht="33.75" customHeight="1" x14ac:dyDescent="0.25">
      <c r="A2" s="212"/>
      <c r="B2" s="212"/>
      <c r="C2" s="212"/>
      <c r="D2" s="212"/>
      <c r="E2" s="212"/>
      <c r="F2" s="212"/>
      <c r="G2" s="212"/>
      <c r="H2" s="212"/>
      <c r="I2" s="212"/>
      <c r="J2" s="212"/>
      <c r="K2" s="212"/>
      <c r="L2" s="212"/>
      <c r="M2" s="212"/>
      <c r="N2" s="212"/>
      <c r="O2" s="212"/>
      <c r="P2" s="212"/>
      <c r="Q2" s="212"/>
    </row>
    <row r="6" spans="1:17" x14ac:dyDescent="0.25">
      <c r="B6" s="603" t="s">
        <v>316</v>
      </c>
      <c r="C6" s="559"/>
      <c r="D6" s="559"/>
      <c r="E6" s="559"/>
      <c r="F6" s="557"/>
      <c r="G6" s="603" t="s">
        <v>317</v>
      </c>
      <c r="H6" s="559"/>
      <c r="I6" s="557"/>
      <c r="J6" s="35"/>
    </row>
    <row r="7" spans="1:17" s="36" customFormat="1" ht="29.1" customHeight="1" x14ac:dyDescent="0.25">
      <c r="B7" s="237" t="s">
        <v>318</v>
      </c>
      <c r="C7" s="237" t="s">
        <v>319</v>
      </c>
      <c r="D7" s="237" t="s">
        <v>320</v>
      </c>
      <c r="E7" s="237" t="s">
        <v>321</v>
      </c>
      <c r="F7" s="237" t="s">
        <v>322</v>
      </c>
      <c r="G7" s="237" t="s">
        <v>323</v>
      </c>
      <c r="H7" s="237" t="s">
        <v>324</v>
      </c>
      <c r="I7" s="237" t="s">
        <v>325</v>
      </c>
      <c r="L7" s="60"/>
    </row>
    <row r="8" spans="1:17" x14ac:dyDescent="0.25">
      <c r="A8" s="242" t="s">
        <v>326</v>
      </c>
      <c r="B8" s="238">
        <v>30</v>
      </c>
      <c r="C8" s="238">
        <v>75</v>
      </c>
      <c r="D8" s="238" t="s">
        <v>327</v>
      </c>
      <c r="E8" s="238">
        <v>25</v>
      </c>
      <c r="F8" s="238">
        <v>50</v>
      </c>
      <c r="G8" s="238">
        <v>400</v>
      </c>
      <c r="H8" s="238">
        <v>4</v>
      </c>
      <c r="I8" s="241" t="s">
        <v>328</v>
      </c>
      <c r="J8" s="40"/>
      <c r="K8" s="61"/>
      <c r="L8" s="466"/>
    </row>
    <row r="9" spans="1:17" x14ac:dyDescent="0.25">
      <c r="L9" s="601"/>
    </row>
    <row r="10" spans="1:17" x14ac:dyDescent="0.25">
      <c r="A10" s="238" t="s">
        <v>329</v>
      </c>
      <c r="B10" s="238">
        <v>19500</v>
      </c>
      <c r="I10" s="62"/>
      <c r="J10" s="40"/>
      <c r="K10" s="61"/>
      <c r="L10" s="601"/>
    </row>
    <row r="11" spans="1:17" x14ac:dyDescent="0.25">
      <c r="A11" s="238" t="s">
        <v>330</v>
      </c>
      <c r="B11" s="238">
        <v>7300</v>
      </c>
    </row>
    <row r="12" spans="1:17" x14ac:dyDescent="0.25">
      <c r="A12" s="238" t="s">
        <v>331</v>
      </c>
      <c r="B12" s="238">
        <v>9500</v>
      </c>
    </row>
    <row r="13" spans="1:17" ht="24.6" customHeight="1" x14ac:dyDescent="0.25">
      <c r="A13" s="28"/>
      <c r="I13" s="597" t="s">
        <v>332</v>
      </c>
      <c r="J13" s="557"/>
    </row>
    <row r="14" spans="1:17" s="36" customFormat="1" ht="57.95" customHeight="1" x14ac:dyDescent="0.25">
      <c r="A14" s="244" t="s">
        <v>333</v>
      </c>
      <c r="B14" s="245" t="s">
        <v>334</v>
      </c>
      <c r="C14" s="245" t="s">
        <v>335</v>
      </c>
      <c r="D14" s="245" t="s">
        <v>336</v>
      </c>
      <c r="E14" s="245" t="s">
        <v>337</v>
      </c>
      <c r="F14" s="245" t="s">
        <v>338</v>
      </c>
      <c r="G14" s="245" t="s">
        <v>339</v>
      </c>
      <c r="H14" s="245" t="s">
        <v>340</v>
      </c>
      <c r="I14" s="37" t="s">
        <v>341</v>
      </c>
      <c r="J14" s="37" t="s">
        <v>342</v>
      </c>
    </row>
    <row r="15" spans="1:17" x14ac:dyDescent="0.25">
      <c r="A15" s="241" t="s">
        <v>343</v>
      </c>
      <c r="B15" s="238">
        <v>1</v>
      </c>
      <c r="C15" s="238">
        <f>10*5</f>
        <v>50</v>
      </c>
      <c r="D15" s="238">
        <f>+B11</f>
        <v>7300</v>
      </c>
      <c r="E15" s="238">
        <f>+B10</f>
        <v>19500</v>
      </c>
      <c r="F15" s="238">
        <f>+(E15/C15)*G8</f>
        <v>156000</v>
      </c>
      <c r="G15" s="238">
        <f>+F15+D15</f>
        <v>163300</v>
      </c>
      <c r="H15" s="241" t="s">
        <v>328</v>
      </c>
      <c r="I15" s="41">
        <f>G15*$C$30+G15*$D$30*28+G15*$E$30*265</f>
        <v>31344.063280000002</v>
      </c>
      <c r="J15" s="42">
        <f>(I15/E15)*$B$56</f>
        <v>1.9912496312449233</v>
      </c>
    </row>
    <row r="16" spans="1:17" x14ac:dyDescent="0.25">
      <c r="A16" s="241" t="s">
        <v>344</v>
      </c>
      <c r="B16" s="238">
        <v>5</v>
      </c>
      <c r="C16" s="238">
        <f>6*5</f>
        <v>30</v>
      </c>
      <c r="D16" s="238">
        <f>+B11/5</f>
        <v>1460</v>
      </c>
      <c r="E16" s="238">
        <f>+B10/5</f>
        <v>3900</v>
      </c>
      <c r="F16" s="238">
        <f>+(E16/C16)*G8</f>
        <v>52000</v>
      </c>
      <c r="G16" s="238">
        <f>+F16+D16</f>
        <v>53460</v>
      </c>
      <c r="H16" s="241" t="s">
        <v>328</v>
      </c>
      <c r="I16" s="41">
        <f>G16*$C$30+G16*$D$30*28+G16*$E$30*265</f>
        <v>10261.197935999999</v>
      </c>
      <c r="J16" s="42">
        <f>(I16/E16)*$B$56</f>
        <v>3.2594061630849227</v>
      </c>
    </row>
    <row r="17" spans="1:18" x14ac:dyDescent="0.25">
      <c r="A17" s="241" t="s">
        <v>345</v>
      </c>
      <c r="B17" s="238">
        <v>1</v>
      </c>
      <c r="C17" s="238"/>
      <c r="D17" s="238">
        <f>+B17*B11</f>
        <v>7300</v>
      </c>
      <c r="E17" s="238">
        <f>+B10</f>
        <v>19500</v>
      </c>
      <c r="F17" s="238">
        <f>30*50</f>
        <v>1500</v>
      </c>
      <c r="G17" s="238">
        <f>+F17+D17</f>
        <v>8800</v>
      </c>
      <c r="H17" s="241" t="s">
        <v>346</v>
      </c>
      <c r="I17" s="41">
        <f>((G17/$E$34*$E$35*1/$E$36)*$C$32)+((G17/$E$34*$E$35*1/$E$36)*$E$37*D$32*28+((G17/$E$34*$E$35*1/$E$36)*$E$37*E$32*265))</f>
        <v>16447.557043391913</v>
      </c>
      <c r="J17" s="42">
        <f>(I17/E17)*$B$61</f>
        <v>1.0343110806919102</v>
      </c>
    </row>
    <row r="18" spans="1:18" x14ac:dyDescent="0.25">
      <c r="A18" s="241" t="s">
        <v>347</v>
      </c>
      <c r="B18" s="238">
        <v>1</v>
      </c>
      <c r="C18" s="238"/>
      <c r="D18" s="238">
        <v>1500</v>
      </c>
      <c r="E18" s="238">
        <v>4000</v>
      </c>
      <c r="F18" s="238">
        <f>10*50</f>
        <v>500</v>
      </c>
      <c r="G18" s="238">
        <f>+F18+D18</f>
        <v>2000</v>
      </c>
      <c r="H18" s="241" t="s">
        <v>346</v>
      </c>
      <c r="I18" s="41">
        <f>((G18/$E$34*$E$35*1/$E$36)*$C$32)+((G18/$E$34*$E$35*1/$E$36)*$E$37*D$32*28+((G18/$E$34*$E$35*1/$E$36)*$E$37*E$32*265))</f>
        <v>3738.0811462254337</v>
      </c>
      <c r="J18" s="42">
        <f>(I18/E18)*$B$61</f>
        <v>1.1459696632666048</v>
      </c>
    </row>
    <row r="19" spans="1:18" x14ac:dyDescent="0.25">
      <c r="A19" s="241" t="s">
        <v>348</v>
      </c>
      <c r="B19" s="238">
        <v>1</v>
      </c>
      <c r="C19" s="238">
        <f>6*5</f>
        <v>30</v>
      </c>
      <c r="D19" s="238">
        <f>+B11/5</f>
        <v>1460</v>
      </c>
      <c r="E19" s="238">
        <f>+B10/5</f>
        <v>3900</v>
      </c>
      <c r="F19" s="238">
        <f>+(E19/C19)*G8</f>
        <v>52000</v>
      </c>
      <c r="G19" s="238">
        <f>+F19+D19</f>
        <v>53460</v>
      </c>
      <c r="H19" s="241" t="s">
        <v>328</v>
      </c>
      <c r="I19" s="41">
        <f>G19*$C$30+G19*$D$30*28+G19*$E$30*265</f>
        <v>10261.197935999999</v>
      </c>
      <c r="J19" s="42">
        <f>(I19/E19)*$B$56</f>
        <v>3.2594061630849227</v>
      </c>
    </row>
    <row r="20" spans="1:18" x14ac:dyDescent="0.25">
      <c r="A20" s="3"/>
      <c r="B20" s="246"/>
      <c r="C20" s="246"/>
      <c r="D20" s="246"/>
      <c r="E20" s="246"/>
      <c r="F20" s="246"/>
      <c r="G20" s="246"/>
      <c r="H20" s="3"/>
      <c r="I20" s="3"/>
      <c r="J20" s="249"/>
    </row>
    <row r="21" spans="1:18" x14ac:dyDescent="0.25">
      <c r="A21" s="241" t="s">
        <v>349</v>
      </c>
      <c r="B21" s="238">
        <v>1</v>
      </c>
      <c r="C21" s="238">
        <v>50</v>
      </c>
      <c r="D21" s="238">
        <f>+E21*0.5</f>
        <v>50</v>
      </c>
      <c r="E21" s="238">
        <v>100</v>
      </c>
      <c r="F21" s="238">
        <f>+(E21/C21)*G8</f>
        <v>800</v>
      </c>
      <c r="G21" s="238">
        <f>+F21+D21</f>
        <v>850</v>
      </c>
      <c r="H21" s="241" t="s">
        <v>350</v>
      </c>
      <c r="I21" s="41">
        <f>(2*G21*$C$30+G21*$D$30*28+G21*$E$30*265)</f>
        <v>324.65036000000003</v>
      </c>
      <c r="J21" s="42">
        <f>(I21/E21)*$B$56</f>
        <v>4.0218041053718379</v>
      </c>
    </row>
    <row r="22" spans="1:18" x14ac:dyDescent="0.25">
      <c r="A22" s="241" t="s">
        <v>351</v>
      </c>
      <c r="B22" s="238">
        <v>1</v>
      </c>
      <c r="C22" s="238">
        <v>30</v>
      </c>
      <c r="D22" s="238">
        <f>+E22*0.5</f>
        <v>115</v>
      </c>
      <c r="E22" s="238">
        <v>230</v>
      </c>
      <c r="F22" s="243">
        <f>+(E22/C22)*G8</f>
        <v>3066.666666666667</v>
      </c>
      <c r="G22" s="243">
        <f>+F22+D22</f>
        <v>3181.666666666667</v>
      </c>
      <c r="H22" s="241" t="s">
        <v>352</v>
      </c>
      <c r="I22" s="41">
        <f>(G22*$C$30+G22*$D$30*28+G22*$E$30*265)+($G$22*F$30+$G$22*G$30*28+$G$22*H$30*265)</f>
        <v>2415.1987123333338</v>
      </c>
      <c r="J22" s="42">
        <f>(I22/E22)*$B$56</f>
        <v>13.008584931521778</v>
      </c>
    </row>
    <row r="23" spans="1:18" x14ac:dyDescent="0.25">
      <c r="I23" s="46"/>
    </row>
    <row r="24" spans="1:18" x14ac:dyDescent="0.25">
      <c r="I24" s="46"/>
      <c r="L24" s="250"/>
      <c r="M24" s="250"/>
      <c r="N24" s="250"/>
      <c r="O24" s="3"/>
      <c r="P24" s="3"/>
      <c r="Q24" s="3"/>
      <c r="R24" s="3"/>
    </row>
    <row r="25" spans="1:18" x14ac:dyDescent="0.25">
      <c r="I25" s="46"/>
      <c r="L25" s="250"/>
      <c r="M25" s="250"/>
      <c r="N25" s="250"/>
      <c r="O25" s="3"/>
      <c r="P25" s="3"/>
      <c r="Q25" s="3"/>
      <c r="R25" s="3"/>
    </row>
    <row r="26" spans="1:18" x14ac:dyDescent="0.25">
      <c r="I26" s="46"/>
      <c r="L26" s="250"/>
      <c r="M26" s="250"/>
      <c r="N26" s="250"/>
      <c r="O26" s="3"/>
      <c r="P26" s="3"/>
      <c r="Q26" s="3"/>
      <c r="R26" s="3"/>
    </row>
    <row r="27" spans="1:18" x14ac:dyDescent="0.25">
      <c r="C27" s="599" t="s">
        <v>353</v>
      </c>
      <c r="D27" s="559"/>
      <c r="E27" s="557"/>
      <c r="F27" s="599" t="s">
        <v>354</v>
      </c>
      <c r="G27" s="559"/>
      <c r="H27" s="557"/>
      <c r="I27" s="46"/>
      <c r="L27" s="250"/>
      <c r="M27" s="250"/>
      <c r="N27" s="250"/>
      <c r="O27" s="3"/>
      <c r="P27" s="3"/>
      <c r="Q27" s="3"/>
      <c r="R27" s="3"/>
    </row>
    <row r="28" spans="1:18" ht="15" customHeight="1" x14ac:dyDescent="0.25">
      <c r="B28" s="598" t="s">
        <v>355</v>
      </c>
      <c r="C28" s="38" t="s">
        <v>356</v>
      </c>
      <c r="D28" s="39" t="s">
        <v>357</v>
      </c>
      <c r="E28" s="39" t="s">
        <v>358</v>
      </c>
      <c r="F28" s="38" t="s">
        <v>356</v>
      </c>
      <c r="G28" s="39" t="s">
        <v>357</v>
      </c>
      <c r="H28" s="39" t="s">
        <v>358</v>
      </c>
      <c r="I28" s="46"/>
      <c r="L28" s="250"/>
      <c r="M28" s="250"/>
      <c r="N28" s="250"/>
      <c r="O28" s="3"/>
      <c r="P28" s="3"/>
      <c r="Q28" s="3"/>
      <c r="R28" s="3"/>
    </row>
    <row r="29" spans="1:18" x14ac:dyDescent="0.25">
      <c r="B29" s="573"/>
      <c r="C29" s="38" t="s">
        <v>359</v>
      </c>
      <c r="D29" s="39" t="s">
        <v>359</v>
      </c>
      <c r="E29" s="39" t="s">
        <v>359</v>
      </c>
      <c r="F29" s="38" t="s">
        <v>359</v>
      </c>
      <c r="G29" s="39" t="s">
        <v>359</v>
      </c>
      <c r="H29" s="39" t="s">
        <v>359</v>
      </c>
      <c r="I29" s="46"/>
      <c r="L29" s="250"/>
      <c r="M29" s="250"/>
      <c r="N29" s="250"/>
      <c r="O29" s="3"/>
      <c r="P29" s="3"/>
      <c r="Q29" s="3"/>
      <c r="R29" s="3"/>
    </row>
    <row r="30" spans="1:18" x14ac:dyDescent="0.25">
      <c r="B30" s="38" t="s">
        <v>360</v>
      </c>
      <c r="C30" s="43">
        <v>0.19</v>
      </c>
      <c r="D30" s="43">
        <f>1.2*10^-6</f>
        <v>1.1999999999999999E-6</v>
      </c>
      <c r="E30" s="43">
        <f>7.2*10^-6</f>
        <v>7.1999999999999997E-6</v>
      </c>
      <c r="F30" s="43">
        <v>0.56000000000000005</v>
      </c>
      <c r="G30" s="44">
        <f>1.9*10^-5</f>
        <v>1.9000000000000001E-5</v>
      </c>
      <c r="H30" s="44">
        <f>25/(10^6)</f>
        <v>2.5000000000000001E-5</v>
      </c>
      <c r="I30" s="46"/>
      <c r="L30" s="250"/>
      <c r="M30" s="250"/>
      <c r="N30" s="250"/>
      <c r="O30" s="3"/>
      <c r="P30" s="3"/>
      <c r="Q30" s="3"/>
      <c r="R30" s="3"/>
    </row>
    <row r="31" spans="1:18" x14ac:dyDescent="0.25">
      <c r="B31" s="248"/>
      <c r="C31" s="98" t="s">
        <v>361</v>
      </c>
      <c r="D31" s="98" t="s">
        <v>362</v>
      </c>
      <c r="E31" s="98" t="s">
        <v>362</v>
      </c>
      <c r="F31" s="246"/>
      <c r="G31" s="246"/>
      <c r="H31" s="246"/>
      <c r="I31" s="46"/>
      <c r="L31" s="250"/>
      <c r="M31" s="250"/>
      <c r="N31" s="250"/>
      <c r="O31" s="3"/>
      <c r="P31" s="3"/>
      <c r="Q31" s="3"/>
      <c r="R31" s="3"/>
    </row>
    <row r="32" spans="1:18" x14ac:dyDescent="0.25">
      <c r="B32" s="248" t="s">
        <v>363</v>
      </c>
      <c r="C32" s="98">
        <v>2.2999999999999998</v>
      </c>
      <c r="D32" s="98">
        <f>4.4*10^-4</f>
        <v>4.4000000000000007E-4</v>
      </c>
      <c r="E32" s="98">
        <f>2.7*10^-5</f>
        <v>2.7000000000000002E-5</v>
      </c>
      <c r="F32" s="3"/>
      <c r="G32" s="213" t="s">
        <v>364</v>
      </c>
      <c r="H32" s="3"/>
      <c r="I32" s="46"/>
      <c r="L32" s="250"/>
      <c r="M32" s="250"/>
      <c r="N32" s="250"/>
      <c r="O32" s="3"/>
      <c r="P32" s="3"/>
      <c r="Q32" s="3"/>
      <c r="R32" s="3"/>
    </row>
    <row r="33" spans="1:18" x14ac:dyDescent="0.25">
      <c r="B33" s="3"/>
      <c r="C33" s="3"/>
      <c r="D33" s="3"/>
      <c r="E33" s="3"/>
      <c r="F33" s="3"/>
      <c r="G33" s="3"/>
      <c r="H33" s="3"/>
      <c r="I33" s="46"/>
      <c r="L33" s="250"/>
      <c r="M33" s="250"/>
      <c r="N33" s="250"/>
      <c r="O33" s="3"/>
      <c r="P33" s="3"/>
      <c r="Q33" s="3"/>
      <c r="R33" s="3"/>
    </row>
    <row r="34" spans="1:18" ht="15.6" customHeight="1" x14ac:dyDescent="0.25">
      <c r="B34" s="599" t="s">
        <v>365</v>
      </c>
      <c r="C34" s="559"/>
      <c r="D34" s="557"/>
      <c r="E34" s="248">
        <v>242</v>
      </c>
      <c r="F34" s="248" t="s">
        <v>366</v>
      </c>
      <c r="G34" s="247" t="s">
        <v>367</v>
      </c>
      <c r="H34" s="3"/>
      <c r="I34" s="46"/>
      <c r="L34" s="250"/>
      <c r="M34" s="250"/>
      <c r="N34" s="250"/>
      <c r="O34" s="3"/>
      <c r="P34" s="3"/>
      <c r="Q34" s="3"/>
      <c r="R34" s="3"/>
    </row>
    <row r="35" spans="1:18" ht="15.6" customHeight="1" x14ac:dyDescent="0.25">
      <c r="B35" s="599" t="s">
        <v>368</v>
      </c>
      <c r="C35" s="559"/>
      <c r="D35" s="557"/>
      <c r="E35" s="248">
        <v>147</v>
      </c>
      <c r="F35" s="248" t="s">
        <v>369</v>
      </c>
      <c r="G35" s="247" t="s">
        <v>367</v>
      </c>
      <c r="H35" s="3"/>
      <c r="I35" s="46"/>
      <c r="L35" s="250"/>
      <c r="M35" s="250"/>
      <c r="N35" s="250"/>
      <c r="O35" s="3"/>
      <c r="P35" s="3"/>
      <c r="Q35" s="3"/>
      <c r="R35" s="3"/>
    </row>
    <row r="36" spans="1:18" x14ac:dyDescent="0.25">
      <c r="B36" s="599" t="s">
        <v>370</v>
      </c>
      <c r="C36" s="559"/>
      <c r="D36" s="557"/>
      <c r="E36" s="248">
        <f>AVERAGE(715,780)/1000</f>
        <v>0.74750000000000005</v>
      </c>
      <c r="F36" s="248" t="s">
        <v>361</v>
      </c>
      <c r="G36" s="3" t="s">
        <v>364</v>
      </c>
      <c r="H36" s="3"/>
      <c r="I36" s="46"/>
      <c r="L36" s="250"/>
      <c r="M36" s="250"/>
      <c r="N36" s="250"/>
      <c r="O36" s="3"/>
      <c r="P36" s="3"/>
      <c r="Q36" s="3"/>
      <c r="R36" s="3"/>
    </row>
    <row r="37" spans="1:18" x14ac:dyDescent="0.25">
      <c r="B37" s="599" t="s">
        <v>371</v>
      </c>
      <c r="C37" s="559"/>
      <c r="D37" s="557"/>
      <c r="E37" s="248">
        <f>33*10^-6</f>
        <v>3.2999999999999996E-5</v>
      </c>
      <c r="F37" s="248" t="s">
        <v>372</v>
      </c>
      <c r="G37" s="3" t="s">
        <v>364</v>
      </c>
      <c r="H37" s="3"/>
      <c r="I37" s="46"/>
      <c r="L37" s="250"/>
      <c r="M37" s="250"/>
      <c r="N37" s="250"/>
      <c r="O37" s="3"/>
      <c r="P37" s="3"/>
      <c r="Q37" s="3"/>
      <c r="R37" s="3"/>
    </row>
    <row r="38" spans="1:18" x14ac:dyDescent="0.25">
      <c r="I38" s="46"/>
      <c r="L38" s="250"/>
      <c r="M38" s="250"/>
      <c r="N38" s="250"/>
      <c r="O38" s="3"/>
      <c r="P38" s="3"/>
      <c r="Q38" s="3"/>
      <c r="R38" s="3"/>
    </row>
    <row r="39" spans="1:18" x14ac:dyDescent="0.25">
      <c r="I39" s="46"/>
      <c r="L39" s="250"/>
      <c r="M39" s="250"/>
      <c r="N39" s="250"/>
      <c r="O39" s="3"/>
      <c r="P39" s="3"/>
      <c r="Q39" s="3"/>
      <c r="R39" s="3"/>
    </row>
    <row r="40" spans="1:18" x14ac:dyDescent="0.25">
      <c r="I40" s="46"/>
      <c r="L40" s="250"/>
      <c r="M40" s="250"/>
      <c r="N40" s="250"/>
      <c r="O40" s="3"/>
      <c r="P40" s="3"/>
      <c r="Q40" s="3"/>
      <c r="R40" s="3"/>
    </row>
    <row r="41" spans="1:18" x14ac:dyDescent="0.25">
      <c r="I41" s="46"/>
      <c r="L41" s="250"/>
      <c r="M41" s="250"/>
      <c r="N41" s="250"/>
      <c r="O41" s="3"/>
      <c r="P41" s="3"/>
      <c r="Q41" s="3"/>
      <c r="R41" s="3"/>
    </row>
    <row r="42" spans="1:18" x14ac:dyDescent="0.25">
      <c r="B42" s="58"/>
      <c r="C42" s="59"/>
      <c r="D42" s="59"/>
      <c r="E42" s="59"/>
      <c r="F42" s="59"/>
      <c r="G42" s="59"/>
      <c r="I42" s="62"/>
      <c r="J42" s="40"/>
      <c r="L42" s="3"/>
      <c r="M42" s="3"/>
      <c r="N42" s="3"/>
      <c r="O42" s="3"/>
    </row>
    <row r="43" spans="1:18" x14ac:dyDescent="0.25">
      <c r="B43" s="58"/>
      <c r="C43" s="59"/>
      <c r="D43" s="59"/>
      <c r="E43" s="59"/>
      <c r="F43" s="59"/>
      <c r="G43" s="59"/>
      <c r="I43" s="61"/>
    </row>
    <row r="46" spans="1:18" x14ac:dyDescent="0.25">
      <c r="A46" s="47" t="s">
        <v>373</v>
      </c>
      <c r="B46" s="48"/>
      <c r="C46" s="48"/>
      <c r="D46" s="48"/>
      <c r="E46" s="48"/>
      <c r="F46" s="48"/>
      <c r="I46" s="40"/>
    </row>
    <row r="47" spans="1:18" x14ac:dyDescent="0.25">
      <c r="A47" s="45"/>
      <c r="B47" s="48"/>
      <c r="C47" s="48"/>
      <c r="D47" s="48"/>
      <c r="E47" s="48"/>
      <c r="F47" s="48"/>
    </row>
    <row r="48" spans="1:18" x14ac:dyDescent="0.25">
      <c r="A48" s="49" t="s">
        <v>328</v>
      </c>
      <c r="B48" s="48"/>
      <c r="C48" s="48"/>
      <c r="D48" s="48"/>
      <c r="E48" s="48"/>
      <c r="F48" s="48"/>
    </row>
    <row r="49" spans="1:6" x14ac:dyDescent="0.25">
      <c r="A49" s="50" t="s">
        <v>339</v>
      </c>
      <c r="B49" s="51">
        <f>G15</f>
        <v>163300</v>
      </c>
      <c r="C49" s="48"/>
      <c r="D49" s="48"/>
      <c r="E49" s="48"/>
      <c r="F49" s="48"/>
    </row>
    <row r="50" spans="1:6" x14ac:dyDescent="0.25">
      <c r="A50" s="45" t="s">
        <v>374</v>
      </c>
      <c r="B50" s="52">
        <f>AVERAGE(6.7,6.9,7.5)/100</f>
        <v>7.0333333333333345E-2</v>
      </c>
      <c r="C50" s="53" t="s">
        <v>375</v>
      </c>
      <c r="D50" s="48"/>
      <c r="E50" s="48"/>
      <c r="F50" s="48"/>
    </row>
    <row r="51" spans="1:6" x14ac:dyDescent="0.25">
      <c r="A51" s="45" t="s">
        <v>376</v>
      </c>
      <c r="B51" s="51">
        <f>B49*B50</f>
        <v>11485.433333333336</v>
      </c>
      <c r="C51" s="48"/>
      <c r="D51" s="48"/>
      <c r="E51" s="48"/>
      <c r="F51" s="48"/>
    </row>
    <row r="52" spans="1:6" ht="17.45" customHeight="1" x14ac:dyDescent="0.25">
      <c r="A52" s="54" t="s">
        <v>377</v>
      </c>
      <c r="B52" s="48">
        <v>18.170000000000002</v>
      </c>
      <c r="C52" s="53" t="s">
        <v>378</v>
      </c>
      <c r="D52" s="48"/>
      <c r="E52" s="48"/>
      <c r="F52" s="48"/>
    </row>
    <row r="53" spans="1:6" x14ac:dyDescent="0.25">
      <c r="A53" s="45" t="s">
        <v>361</v>
      </c>
      <c r="B53" s="48">
        <v>0.84</v>
      </c>
      <c r="C53" s="53" t="s">
        <v>379</v>
      </c>
      <c r="D53" s="48"/>
      <c r="E53" s="48"/>
      <c r="F53" s="48"/>
    </row>
    <row r="54" spans="1:6" x14ac:dyDescent="0.25">
      <c r="A54" s="55" t="s">
        <v>380</v>
      </c>
      <c r="B54" s="48">
        <v>42.7</v>
      </c>
      <c r="C54" s="53" t="s">
        <v>379</v>
      </c>
      <c r="D54" s="48"/>
      <c r="E54" s="48"/>
      <c r="F54" s="48"/>
    </row>
    <row r="55" spans="1:6" x14ac:dyDescent="0.25">
      <c r="A55" s="45" t="s">
        <v>381</v>
      </c>
      <c r="B55" s="51">
        <f>(B52*B54*B53*B51)/(10^3)</f>
        <v>7485.3045292760025</v>
      </c>
      <c r="C55" s="48"/>
      <c r="D55" s="48"/>
      <c r="E55" s="48"/>
      <c r="F55" s="48"/>
    </row>
    <row r="56" spans="1:6" s="28" customFormat="1" x14ac:dyDescent="0.25">
      <c r="A56" s="45" t="s">
        <v>382</v>
      </c>
      <c r="B56" s="63">
        <f>(B55+I15)/I15</f>
        <v>1.2388109181125926</v>
      </c>
      <c r="C56" s="48"/>
      <c r="D56" s="48"/>
      <c r="E56" s="48"/>
      <c r="F56" s="48"/>
    </row>
    <row r="57" spans="1:6" s="28" customFormat="1" x14ac:dyDescent="0.25">
      <c r="A57" s="45"/>
      <c r="B57" s="48"/>
      <c r="C57" s="48"/>
      <c r="D57" s="48"/>
      <c r="E57" s="48"/>
      <c r="F57" s="48"/>
    </row>
    <row r="58" spans="1:6" s="28" customFormat="1" x14ac:dyDescent="0.25">
      <c r="A58" s="47" t="s">
        <v>346</v>
      </c>
      <c r="B58" s="48"/>
      <c r="C58" s="48"/>
      <c r="D58" s="48"/>
      <c r="E58" s="48"/>
      <c r="F58" s="48"/>
    </row>
    <row r="59" spans="1:6" s="28" customFormat="1" ht="17.45" customHeight="1" x14ac:dyDescent="0.25">
      <c r="A59" s="56" t="s">
        <v>383</v>
      </c>
      <c r="B59" s="57">
        <f>15.77</f>
        <v>15.77</v>
      </c>
      <c r="C59" s="48"/>
      <c r="D59" s="48"/>
      <c r="E59" s="48"/>
      <c r="F59" s="48"/>
    </row>
    <row r="60" spans="1:6" s="28" customFormat="1" x14ac:dyDescent="0.25">
      <c r="A60" s="45" t="s">
        <v>381</v>
      </c>
      <c r="B60" s="51">
        <f>B59*((SUM(G17:G18)/E34)*E35*(1/E36)*E37*10^6)/1000</f>
        <v>4567.3065369413189</v>
      </c>
      <c r="C60" s="48"/>
      <c r="D60" s="48"/>
      <c r="E60" s="48"/>
      <c r="F60" s="48"/>
    </row>
    <row r="61" spans="1:6" s="28" customFormat="1" x14ac:dyDescent="0.25">
      <c r="A61" s="45" t="s">
        <v>382</v>
      </c>
      <c r="B61" s="63">
        <f>(B60+SUM(I17:I18))/SUM(I17:I18)</f>
        <v>1.2262651541674097</v>
      </c>
      <c r="C61" s="48"/>
      <c r="D61" s="48"/>
      <c r="E61" s="48"/>
      <c r="F61" s="48"/>
    </row>
    <row r="62" spans="1:6" s="28" customFormat="1" x14ac:dyDescent="0.25">
      <c r="A62" s="45"/>
      <c r="B62" s="48"/>
      <c r="C62" s="48"/>
      <c r="D62" s="48"/>
      <c r="E62" s="48"/>
      <c r="F62" s="48"/>
    </row>
    <row r="63" spans="1:6" s="28" customFormat="1" x14ac:dyDescent="0.25">
      <c r="A63" s="47" t="s">
        <v>384</v>
      </c>
      <c r="B63" s="48"/>
      <c r="C63" s="48"/>
      <c r="D63" s="48"/>
      <c r="E63" s="48"/>
      <c r="F63" s="48"/>
    </row>
    <row r="64" spans="1:6" s="28" customFormat="1" x14ac:dyDescent="0.25">
      <c r="A64" s="45" t="s">
        <v>385</v>
      </c>
      <c r="B64" s="52">
        <v>7.5680272108843543</v>
      </c>
      <c r="C64" s="53" t="s">
        <v>386</v>
      </c>
      <c r="D64" s="48"/>
      <c r="E64" s="48"/>
      <c r="F64" s="48"/>
    </row>
    <row r="65" spans="1:6" s="28" customFormat="1" x14ac:dyDescent="0.25">
      <c r="A65" s="45" t="s">
        <v>387</v>
      </c>
      <c r="B65" s="52">
        <v>2.72108843537415</v>
      </c>
      <c r="C65" s="53" t="s">
        <v>386</v>
      </c>
      <c r="D65" s="48"/>
      <c r="E65" s="48"/>
      <c r="F65" s="48"/>
    </row>
    <row r="66" spans="1:6" s="28" customFormat="1" x14ac:dyDescent="0.25">
      <c r="A66" s="45" t="s">
        <v>388</v>
      </c>
      <c r="B66" s="51">
        <f>(1/B64)*$G$22</f>
        <v>420.40898876404492</v>
      </c>
      <c r="C66" s="48"/>
      <c r="D66" s="48"/>
      <c r="E66" s="48"/>
      <c r="F66" s="48"/>
    </row>
    <row r="67" spans="1:6" s="28" customFormat="1" x14ac:dyDescent="0.25">
      <c r="A67" s="45" t="s">
        <v>389</v>
      </c>
      <c r="B67" s="51">
        <f>(1/B65)*$G$22</f>
        <v>1169.2624999999998</v>
      </c>
      <c r="C67" s="48"/>
      <c r="D67" s="48"/>
      <c r="E67" s="48"/>
      <c r="F67" s="48"/>
    </row>
    <row r="68" spans="1:6" s="28" customFormat="1" x14ac:dyDescent="0.25">
      <c r="A68" s="45" t="s">
        <v>390</v>
      </c>
      <c r="B68" s="51">
        <f>$B$52*$B$54*$B$53*B66/1000</f>
        <v>273.98960199532587</v>
      </c>
      <c r="C68" s="48"/>
      <c r="D68" s="48"/>
      <c r="E68" s="48"/>
      <c r="F68" s="48"/>
    </row>
    <row r="69" spans="1:6" s="28" customFormat="1" x14ac:dyDescent="0.25">
      <c r="A69" s="45" t="s">
        <v>391</v>
      </c>
      <c r="B69" s="51">
        <f>$B$52*$B$54*$B$53*B67/1000</f>
        <v>762.0335805494999</v>
      </c>
      <c r="C69" s="48"/>
      <c r="D69" s="48"/>
      <c r="E69" s="48"/>
      <c r="F69" s="48"/>
    </row>
    <row r="74" spans="1:6" ht="15" customHeight="1" thickBot="1" x14ac:dyDescent="0.3"/>
    <row r="75" spans="1:6" ht="15" customHeight="1" thickBot="1" x14ac:dyDescent="0.3">
      <c r="A75" s="254" t="s">
        <v>392</v>
      </c>
      <c r="B75" s="255" t="s">
        <v>393</v>
      </c>
      <c r="C75" s="255" t="s">
        <v>394</v>
      </c>
    </row>
    <row r="76" spans="1:6" ht="17.45" customHeight="1" thickTop="1" thickBot="1" x14ac:dyDescent="0.3">
      <c r="A76" s="602" t="s">
        <v>395</v>
      </c>
      <c r="B76" s="256" t="s">
        <v>396</v>
      </c>
      <c r="C76" s="256">
        <v>2.2999999999999998</v>
      </c>
    </row>
    <row r="77" spans="1:6" ht="17.100000000000001" customHeight="1" thickBot="1" x14ac:dyDescent="0.3">
      <c r="A77" s="595"/>
      <c r="B77" s="256" t="s">
        <v>397</v>
      </c>
      <c r="C77" s="257">
        <v>3.3E-4</v>
      </c>
    </row>
    <row r="78" spans="1:6" ht="17.100000000000001" customHeight="1" thickBot="1" x14ac:dyDescent="0.3">
      <c r="A78" s="596"/>
      <c r="B78" s="256" t="s">
        <v>398</v>
      </c>
      <c r="C78" s="257">
        <v>5.8E-5</v>
      </c>
    </row>
    <row r="79" spans="1:6" ht="17.100000000000001" customHeight="1" thickBot="1" x14ac:dyDescent="0.3">
      <c r="A79" s="594" t="s">
        <v>360</v>
      </c>
      <c r="B79" s="256" t="s">
        <v>396</v>
      </c>
      <c r="C79" s="256">
        <v>2.6</v>
      </c>
    </row>
    <row r="80" spans="1:6" ht="17.100000000000001" customHeight="1" thickBot="1" x14ac:dyDescent="0.3">
      <c r="A80" s="595"/>
      <c r="B80" s="256" t="s">
        <v>397</v>
      </c>
      <c r="C80" s="257">
        <v>3.8000000000000002E-4</v>
      </c>
    </row>
    <row r="81" spans="1:3" ht="15" customHeight="1" thickBot="1" x14ac:dyDescent="0.3">
      <c r="A81" s="596"/>
      <c r="B81" s="256" t="s">
        <v>398</v>
      </c>
      <c r="C81" s="257">
        <v>6.7999999999999999E-5</v>
      </c>
    </row>
    <row r="83" spans="1:3" ht="15" customHeight="1" thickBot="1" x14ac:dyDescent="0.3"/>
    <row r="84" spans="1:3" ht="44.1" customHeight="1" thickBot="1" x14ac:dyDescent="0.3">
      <c r="A84" s="254" t="s">
        <v>393</v>
      </c>
      <c r="B84" s="255" t="s">
        <v>399</v>
      </c>
    </row>
    <row r="85" spans="1:3" ht="15.6" customHeight="1" thickTop="1" thickBot="1" x14ac:dyDescent="0.3">
      <c r="A85" s="258" t="s">
        <v>396</v>
      </c>
      <c r="B85" s="256">
        <v>1</v>
      </c>
    </row>
    <row r="86" spans="1:3" ht="15" customHeight="1" thickBot="1" x14ac:dyDescent="0.3">
      <c r="A86" s="258" t="s">
        <v>397</v>
      </c>
      <c r="B86" s="256">
        <v>28</v>
      </c>
    </row>
    <row r="87" spans="1:3" ht="15" customHeight="1" thickBot="1" x14ac:dyDescent="0.3">
      <c r="A87" s="258" t="s">
        <v>398</v>
      </c>
      <c r="B87" s="256">
        <v>265</v>
      </c>
    </row>
  </sheetData>
  <sheetProtection algorithmName="SHA-512" hashValue="16oR4QSQRK5ZKd7PHtmzOs24PHYbRrgkFVl5wVEENLpNG0dhLVqyxH+CcbdDM0Q+DkjfEzcUFII9VcLhMvrEgw==" saltValue="/zSBWe5uAualyNeOIXPvWg==" spinCount="100000" sheet="1" objects="1" scenarios="1"/>
  <mergeCells count="14">
    <mergeCell ref="A1:Q1"/>
    <mergeCell ref="B34:D34"/>
    <mergeCell ref="L8:L10"/>
    <mergeCell ref="B35:D35"/>
    <mergeCell ref="A76:A78"/>
    <mergeCell ref="B6:F6"/>
    <mergeCell ref="G6:I6"/>
    <mergeCell ref="A79:A81"/>
    <mergeCell ref="I13:J13"/>
    <mergeCell ref="B28:B29"/>
    <mergeCell ref="B36:D36"/>
    <mergeCell ref="B37:D37"/>
    <mergeCell ref="C27:E27"/>
    <mergeCell ref="F27:H27"/>
  </mergeCells>
  <pageMargins left="0.7" right="0.7" top="0.75" bottom="0.75" header="0.3" footer="0.3"/>
  <pageSetup paperSize="9" orientation="portrait" horizontalDpi="300" verticalDpi="30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8DD09CB4D78864B93C48F5F1967AA36" ma:contentTypeVersion="15" ma:contentTypeDescription="Criar um novo documento." ma:contentTypeScope="" ma:versionID="2a43a32cfb0fe927b3b2d53cbe858a85">
  <xsd:schema xmlns:xsd="http://www.w3.org/2001/XMLSchema" xmlns:xs="http://www.w3.org/2001/XMLSchema" xmlns:p="http://schemas.microsoft.com/office/2006/metadata/properties" xmlns:ns2="0ca35fd8-7c6c-45e1-a937-6435486fa5b7" xmlns:ns3="0d9eadd3-3bf3-4bc8-b990-d497c4a0e9f5" targetNamespace="http://schemas.microsoft.com/office/2006/metadata/properties" ma:root="true" ma:fieldsID="d3a6010839d88f971aed98ee86ecba03" ns2:_="" ns3:_="">
    <xsd:import namespace="0ca35fd8-7c6c-45e1-a937-6435486fa5b7"/>
    <xsd:import namespace="0d9eadd3-3bf3-4bc8-b990-d497c4a0e9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a35fd8-7c6c-45e1-a937-6435486fa5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m" ma:readOnly="false" ma:fieldId="{5cf76f15-5ced-4ddc-b409-7134ff3c332f}" ma:taxonomyMulti="true" ma:sspId="dfdfb174-1955-430f-bcd9-9da6d0ae62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9eadd3-3bf3-4bc8-b990-d497c4a0e9f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56fda30-f3f8-4641-97fe-02cd81709f05}" ma:internalName="TaxCatchAll" ma:showField="CatchAllData" ma:web="0d9eadd3-3bf3-4bc8-b990-d497c4a0e9f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a35fd8-7c6c-45e1-a937-6435486fa5b7">
      <Terms xmlns="http://schemas.microsoft.com/office/infopath/2007/PartnerControls"/>
    </lcf76f155ced4ddcb4097134ff3c332f>
    <TaxCatchAll xmlns="0d9eadd3-3bf3-4bc8-b990-d497c4a0e9f5" xsi:nil="true"/>
  </documentManagement>
</p:properties>
</file>

<file path=customXml/itemProps1.xml><?xml version="1.0" encoding="utf-8"?>
<ds:datastoreItem xmlns:ds="http://schemas.openxmlformats.org/officeDocument/2006/customXml" ds:itemID="{70CD2016-7A6C-40DF-8C35-DF2CDB181023}"/>
</file>

<file path=customXml/itemProps2.xml><?xml version="1.0" encoding="utf-8"?>
<ds:datastoreItem xmlns:ds="http://schemas.openxmlformats.org/officeDocument/2006/customXml" ds:itemID="{F741AE61-5DD6-46B2-9A08-E64AF6BB4536}"/>
</file>

<file path=customXml/itemProps3.xml><?xml version="1.0" encoding="utf-8"?>
<ds:datastoreItem xmlns:ds="http://schemas.openxmlformats.org/officeDocument/2006/customXml" ds:itemID="{4FCE27F1-B4B4-4C8F-8AE1-04F5F3D3BB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16</vt:i4>
      </vt:variant>
      <vt:variant>
        <vt:lpstr>Intervalos com Nome</vt:lpstr>
      </vt:variant>
      <vt:variant>
        <vt:i4>23</vt:i4>
      </vt:variant>
    </vt:vector>
  </HeadingPairs>
  <TitlesOfParts>
    <vt:vector size="39" baseType="lpstr">
      <vt:lpstr>Capa</vt:lpstr>
      <vt:lpstr>INÍCIO</vt:lpstr>
      <vt:lpstr>Instruções </vt:lpstr>
      <vt:lpstr>Inserção de dados_Linhas</vt:lpstr>
      <vt:lpstr>Ferramenta de cálculo_Linhas</vt:lpstr>
      <vt:lpstr>Resultados_linhas</vt:lpstr>
      <vt:lpstr>Formulário_linhas</vt:lpstr>
      <vt:lpstr>FE-Emissões Evitadas</vt:lpstr>
      <vt:lpstr>FE-Faixa de Servidão</vt:lpstr>
      <vt:lpstr>FE-FxServ-Exploração</vt:lpstr>
      <vt:lpstr>FE-FxServ-EmissõesExploração</vt:lpstr>
      <vt:lpstr>FE-FxServ-Estabelecimento</vt:lpstr>
      <vt:lpstr>FE-FxServ-EmissõesEstableciment</vt:lpstr>
      <vt:lpstr>FE-DAP</vt:lpstr>
      <vt:lpstr>6. DAPs</vt:lpstr>
      <vt:lpstr>FE-Manutenção</vt:lpstr>
      <vt:lpstr>'Instruções '!A</vt:lpstr>
      <vt:lpstr>'FE-Faixa de Servidão'!AberturaFaixa</vt:lpstr>
      <vt:lpstr>'FE-DAP'!ACSRcabo</vt:lpstr>
      <vt:lpstr>'FE-DAP'!ACSRiproeb</vt:lpstr>
      <vt:lpstr>'6. DAPs'!Área_de_Impressão</vt:lpstr>
      <vt:lpstr>'Instruções '!B</vt:lpstr>
      <vt:lpstr>'Inserção de dados_Linhas'!BalFlor</vt:lpstr>
      <vt:lpstr>'Inserção de dados_Linhas'!Começar</vt:lpstr>
      <vt:lpstr>'Instruções '!D</vt:lpstr>
      <vt:lpstr>'FE-Emissões Evitadas'!EmissEvit</vt:lpstr>
      <vt:lpstr>'Instruções '!ExpC</vt:lpstr>
      <vt:lpstr>FEFxServExpl</vt:lpstr>
      <vt:lpstr>'Ferramenta de cálculo_Linhas'!Ferramenta</vt:lpstr>
      <vt:lpstr>Formulário_linhas!Formulário</vt:lpstr>
      <vt:lpstr>FxServEmiEst</vt:lpstr>
      <vt:lpstr>INÍCIO!Início</vt:lpstr>
      <vt:lpstr>'Instruções '!Instruções</vt:lpstr>
      <vt:lpstr>'FE-DAP'!Isoladores</vt:lpstr>
      <vt:lpstr>'FE-Manutenção'!Manutenção</vt:lpstr>
      <vt:lpstr>'FE-DAP'!Metalogalva</vt:lpstr>
      <vt:lpstr>'FE-DAP'!OPGW</vt:lpstr>
      <vt:lpstr>Resultados_linhas!Resultados</vt:lpstr>
      <vt:lpstr>'Inserção de dados_Linhas'!Topo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Patrícia Silva</dc:creator>
  <cp:lastModifiedBy>Patrícia Silva</cp:lastModifiedBy>
  <dcterms:created xsi:type="dcterms:W3CDTF">2015-06-05T18:19:34Z</dcterms:created>
  <dcterms:modified xsi:type="dcterms:W3CDTF">2025-07-24T08:16:40Z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0x01010068DD09CB4D78864B93C48F5F1967AA36</vt:lpwstr>
  </property>
</Properties>
</file>