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defaultThemeVersion="166925"/>
  <mc:AlternateContent xmlns:mc="http://schemas.openxmlformats.org/markup-compatibility/2006">
    <mc:Choice Requires="x15">
      <x15ac:absPath xmlns:x15ac="http://schemas.microsoft.com/office/spreadsheetml/2010/11/ac" url="Z:\1 - PRODUCAO\Em Curso\2023\T02523\05Documentos_Provisórios\FMC\"/>
    </mc:Choice>
  </mc:AlternateContent>
  <xr:revisionPtr revIDLastSave="0" documentId="8_{398994B3-C01C-4FB3-B50B-072EF81586F2}"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2" firstSheet="2" activeTab="1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4" i="56" l="1"/>
  <c r="K263" i="56"/>
  <c r="K262" i="56"/>
  <c r="F261" i="56"/>
  <c r="F260" i="56"/>
  <c r="K258" i="56"/>
  <c r="K259" i="56"/>
  <c r="K257" i="56"/>
  <c r="K254" i="56"/>
  <c r="F252" i="56"/>
  <c r="F251" i="56"/>
  <c r="K250" i="56"/>
  <c r="K249" i="56"/>
  <c r="K248" i="56"/>
  <c r="K247" i="56"/>
  <c r="K246" i="56"/>
  <c r="K245" i="56"/>
  <c r="F244" i="56"/>
  <c r="K243" i="56"/>
  <c r="F242" i="56"/>
  <c r="F241" i="56"/>
  <c r="F240" i="56"/>
  <c r="F239" i="56"/>
  <c r="K238" i="56"/>
  <c r="K237" i="56"/>
  <c r="F236" i="56"/>
  <c r="K235" i="56"/>
  <c r="K234" i="56"/>
  <c r="K233" i="56"/>
  <c r="F232" i="56"/>
  <c r="F231" i="56"/>
  <c r="K230" i="56"/>
  <c r="K228" i="56"/>
  <c r="K227" i="56"/>
  <c r="K224" i="56"/>
  <c r="K220" i="56"/>
  <c r="K217" i="56"/>
  <c r="K216" i="56"/>
  <c r="K214" i="56"/>
  <c r="K213" i="56"/>
  <c r="K209" i="56"/>
  <c r="K210" i="56" s="1"/>
  <c r="K208" i="56"/>
  <c r="K205" i="56"/>
  <c r="K204" i="56"/>
  <c r="F203" i="56"/>
  <c r="F202" i="56"/>
  <c r="F201" i="56"/>
  <c r="F200" i="56"/>
  <c r="K199" i="56"/>
  <c r="K198" i="56"/>
  <c r="F197" i="56"/>
  <c r="K196" i="56"/>
  <c r="K195" i="56"/>
  <c r="F194" i="56"/>
  <c r="K193" i="56"/>
  <c r="K192" i="56"/>
  <c r="K191" i="56"/>
  <c r="K190" i="56"/>
  <c r="K189" i="56"/>
  <c r="K188" i="56"/>
  <c r="F187" i="56"/>
  <c r="K186" i="56"/>
  <c r="K185" i="56"/>
  <c r="F184" i="56"/>
  <c r="K183" i="56"/>
  <c r="F182" i="56"/>
  <c r="F181" i="56"/>
  <c r="F180" i="56"/>
  <c r="F179" i="56"/>
  <c r="F178" i="56"/>
  <c r="F177" i="56"/>
  <c r="K176" i="56"/>
  <c r="K175" i="56"/>
  <c r="F174" i="56"/>
  <c r="K173" i="56"/>
  <c r="K172" i="56"/>
  <c r="K171" i="56"/>
  <c r="K170" i="56"/>
  <c r="K169" i="56"/>
  <c r="K168" i="56"/>
  <c r="F167" i="56"/>
  <c r="E34" i="2"/>
  <c r="E95" i="27"/>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N168" i="56"/>
  <c r="N169" i="56"/>
  <c r="N170" i="56"/>
  <c r="N171" i="56"/>
  <c r="N172" i="56"/>
  <c r="N173" i="56"/>
  <c r="N174" i="56"/>
  <c r="N175" i="56"/>
  <c r="N176" i="56"/>
  <c r="N177" i="56"/>
  <c r="N167" i="56"/>
  <c r="S167" i="56"/>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O167" i="56" l="1"/>
  <c r="F34" i="25"/>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F402" i="56" l="1"/>
  <c r="H400" i="56"/>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2" i="19" l="1"/>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H527" i="19"/>
  <c r="I527" i="19"/>
  <c r="J527" i="19"/>
  <c r="N527" i="19"/>
  <c r="G528" i="19"/>
  <c r="H528" i="19"/>
  <c r="I528" i="19"/>
  <c r="J528" i="19"/>
  <c r="N528" i="19"/>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I522" i="19"/>
  <c r="J522" i="19"/>
  <c r="N522" i="19"/>
  <c r="G523" i="19"/>
  <c r="H523" i="19"/>
  <c r="I523" i="19"/>
  <c r="J523" i="19"/>
  <c r="N523" i="19"/>
  <c r="G524" i="19"/>
  <c r="H524" i="19"/>
  <c r="I524" i="19"/>
  <c r="J524" i="19"/>
  <c r="N524" i="19"/>
  <c r="G525" i="19"/>
  <c r="H525" i="19"/>
  <c r="I525" i="19"/>
  <c r="J525" i="19"/>
  <c r="N525" i="19"/>
  <c r="G526" i="19"/>
  <c r="H526" i="19"/>
  <c r="I526" i="19"/>
  <c r="J526" i="19"/>
  <c r="N526" i="19"/>
  <c r="E522" i="19"/>
  <c r="L522" i="19" s="1"/>
  <c r="E523" i="19"/>
  <c r="L523" i="19" s="1"/>
  <c r="E524" i="19"/>
  <c r="L524" i="19" s="1"/>
  <c r="E525" i="19"/>
  <c r="L525" i="19" s="1"/>
  <c r="E526" i="19"/>
  <c r="L526" i="19" s="1"/>
  <c r="E527" i="19"/>
  <c r="L527" i="19" s="1"/>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R120" i="20" l="1"/>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8" i="3"/>
  <c r="F59" i="3"/>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H59" i="3"/>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U21"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E563" i="19"/>
  <c r="E572" i="19"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D154" i="26" l="1"/>
  <c r="E165" i="26" s="1"/>
  <c r="F166" i="26" s="1"/>
  <c r="F191" i="3"/>
  <c r="H191" i="3" s="1"/>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F565" i="19" s="1"/>
  <c r="F66" i="12" s="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F574" i="19" l="1"/>
  <c r="G564" i="19"/>
  <c r="G573" i="19" s="1"/>
  <c r="G571" i="19" s="1"/>
  <c r="E564" i="19"/>
  <c r="E573" i="19" s="1"/>
  <c r="X221" i="20"/>
  <c r="D62" i="12"/>
  <c r="E62" i="12"/>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F563" i="19" s="1"/>
  <c r="F572" i="19" s="1"/>
  <c r="O121" i="20"/>
  <c r="F564" i="19" s="1"/>
  <c r="F573" i="19" s="1"/>
  <c r="H121" i="20"/>
  <c r="G560" i="19" s="1"/>
  <c r="G569" i="19" s="1"/>
  <c r="I49" i="12" s="1"/>
  <c r="I17" i="12" s="1"/>
  <c r="U121" i="20"/>
  <c r="G121" i="20"/>
  <c r="T121" i="20"/>
  <c r="F121" i="20"/>
  <c r="T123" i="20"/>
  <c r="O53" i="19"/>
  <c r="D23" i="20" s="1"/>
  <c r="G23" i="20" s="1"/>
  <c r="W23" i="20" s="1"/>
  <c r="O52" i="19"/>
  <c r="O54" i="19"/>
  <c r="D24" i="20" s="1"/>
  <c r="F571" i="19" l="1"/>
  <c r="F62" i="12"/>
  <c r="H49" i="12"/>
  <c r="W121" i="20"/>
  <c r="F561" i="19"/>
  <c r="V121" i="20"/>
  <c r="E561" i="19"/>
  <c r="X121" i="20"/>
  <c r="G561" i="19"/>
  <c r="H64" i="12"/>
  <c r="G562" i="19"/>
  <c r="I64" i="12"/>
  <c r="E64" i="12"/>
  <c r="O151" i="19"/>
  <c r="G62" i="12"/>
  <c r="H572" i="19"/>
  <c r="D22" i="20"/>
  <c r="S22" i="20" s="1"/>
  <c r="E565" i="19" s="1"/>
  <c r="H23" i="20"/>
  <c r="X23" i="20" s="1"/>
  <c r="I66" i="12" s="1"/>
  <c r="H421" i="20"/>
  <c r="T24" i="20"/>
  <c r="F24" i="20"/>
  <c r="U23" i="20"/>
  <c r="D21" i="20"/>
  <c r="F21" i="20" s="1"/>
  <c r="E560" i="19" s="1"/>
  <c r="E569" i="19" s="1"/>
  <c r="E49" i="12" s="1"/>
  <c r="G17" i="12" s="1"/>
  <c r="E574" i="19" l="1"/>
  <c r="E571" i="19" s="1"/>
  <c r="H571" i="19" s="1"/>
  <c r="D66" i="12"/>
  <c r="E562" i="19"/>
  <c r="G22" i="20"/>
  <c r="W22" i="20" s="1"/>
  <c r="F22" i="20"/>
  <c r="V22" i="20" s="1"/>
  <c r="G570" i="19"/>
  <c r="G261" i="25"/>
  <c r="E570" i="19"/>
  <c r="E261" i="25"/>
  <c r="F570" i="19"/>
  <c r="F261" i="25"/>
  <c r="I19" i="12"/>
  <c r="G64" i="12"/>
  <c r="F562" i="19"/>
  <c r="G66" i="12"/>
  <c r="D64" i="12"/>
  <c r="J62" i="12"/>
  <c r="G21" i="20"/>
  <c r="F560" i="19" s="1"/>
  <c r="F569" i="19" s="1"/>
  <c r="F19" i="12"/>
  <c r="U22" i="20"/>
  <c r="U421" i="20" s="1"/>
  <c r="O421" i="20"/>
  <c r="G421" i="20"/>
  <c r="D49" i="12"/>
  <c r="F64" i="12"/>
  <c r="E19" i="12" s="1"/>
  <c r="R421" i="20"/>
  <c r="S421" i="20"/>
  <c r="E66" i="12" l="1"/>
  <c r="G19" i="12" s="1"/>
  <c r="F260" i="25"/>
  <c r="F57" i="12"/>
  <c r="F268" i="25"/>
  <c r="G57" i="12" s="1"/>
  <c r="D57" i="12"/>
  <c r="E268" i="25"/>
  <c r="E260" i="25"/>
  <c r="H570" i="19"/>
  <c r="G260" i="25"/>
  <c r="H57" i="12"/>
  <c r="G268" i="25"/>
  <c r="I57" i="12" s="1"/>
  <c r="H573" i="19"/>
  <c r="H19" i="12"/>
  <c r="D19" i="12"/>
  <c r="H574" i="19"/>
  <c r="J64" i="12"/>
  <c r="H569" i="19"/>
  <c r="G49" i="12"/>
  <c r="F49" i="12"/>
  <c r="T21" i="20"/>
  <c r="F421" i="20"/>
  <c r="J66" i="12" l="1"/>
  <c r="J59" i="12" s="1"/>
  <c r="H575" i="19"/>
  <c r="E267" i="25"/>
  <c r="E259" i="25"/>
  <c r="D56" i="12"/>
  <c r="D18" i="12" s="1"/>
  <c r="H268" i="25"/>
  <c r="E57" i="12"/>
  <c r="J57" i="12" s="1"/>
  <c r="G259" i="25"/>
  <c r="G267" i="25"/>
  <c r="H56" i="12"/>
  <c r="F259" i="25"/>
  <c r="F56" i="12"/>
  <c r="E18" i="12" s="1"/>
  <c r="F267" i="25"/>
  <c r="H17" i="12"/>
  <c r="J17" i="12" s="1"/>
  <c r="J19" i="12"/>
  <c r="J49" i="12"/>
  <c r="T421" i="20"/>
  <c r="L66" i="12" l="1"/>
  <c r="L62" i="12"/>
  <c r="L49" i="12"/>
  <c r="L57" i="12" s="1"/>
  <c r="L64" i="12"/>
  <c r="I56" i="12"/>
  <c r="I18" i="12" s="1"/>
  <c r="I20" i="12" s="1"/>
  <c r="I22" i="12" s="1"/>
  <c r="G266" i="25"/>
  <c r="F266" i="25"/>
  <c r="G56" i="12"/>
  <c r="H18" i="12" s="1"/>
  <c r="H20" i="12" s="1"/>
  <c r="H22" i="12" s="1"/>
  <c r="F18" i="12"/>
  <c r="E266" i="25"/>
  <c r="E56" i="12"/>
  <c r="H267" i="25"/>
  <c r="D50" i="12"/>
  <c r="F50" i="12"/>
  <c r="H50" i="12"/>
  <c r="H266" i="25" l="1"/>
  <c r="G18" i="12"/>
  <c r="J56" i="12"/>
  <c r="J55" i="12" s="1"/>
  <c r="J50" i="12"/>
  <c r="J47" i="12" s="1"/>
  <c r="L56" i="12" l="1"/>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<sst xmlns="http://schemas.openxmlformats.org/spreadsheetml/2006/main" count="3063" uniqueCount="1674">
  <si>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</si>
  <si>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</si>
  <si>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</si>
  <si>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</si>
  <si>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</si>
  <si>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</si>
  <si>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</si>
  <si>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</si>
  <si>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</si>
  <si>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</si>
  <si>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</si>
  <si>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</si>
  <si>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</si>
  <si>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</si>
  <si>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</si>
  <si>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</si>
  <si>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</si>
  <si>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</si>
  <si>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</si>
  <si>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</si>
  <si>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</si>
  <si>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</si>
  <si>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</si>
  <si>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</si>
  <si>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</si>
  <si>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</si>
  <si>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</si>
  <si>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</si>
  <si>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</si>
  <si>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</si>
  <si>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</si>
  <si>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</si>
  <si>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</si>
  <si>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</si>
  <si>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</si>
  <si>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</si>
  <si>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</si>
  <si>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</si>
  <si>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</si>
  <si>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</si>
  <si>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</si>
  <si>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</si>
  <si>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</si>
  <si>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</si>
  <si>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</si>
  <si>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</si>
  <si>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</si>
  <si>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</si>
  <si>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</si>
  <si>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</si>
  <si>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</si>
  <si>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</si>
  <si>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</si>
  <si>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</si>
  <si>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</si>
  <si>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</si>
  <si>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</si>
  <si>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</si>
  <si>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</si>
  <si>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</si>
  <si>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</si>
  <si>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</si>
  <si>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</si>
  <si>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</si>
  <si>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</si>
  <si>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</si>
  <si>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</si>
  <si>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</si>
  <si>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</si>
  <si>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</si>
  <si>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</si>
  <si>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</si>
  <si>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</si>
  <si>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</si>
  <si>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</si>
  <si>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</si>
  <si>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</si>
  <si>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</si>
  <si>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</si>
  <si>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</si>
  <si>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</si>
  <si>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</si>
  <si>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</si>
  <si>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</si>
  <si>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</si>
  <si>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</si>
  <si>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</si>
  <si>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</si>
  <si>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</si>
  <si>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</si>
  <si>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</si>
  <si>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</si>
  <si>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</si>
  <si>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</si>
  <si>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</si>
  <si>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</si>
  <si>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</si>
  <si>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</si>
  <si>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</si>
  <si>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</si>
  <si>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</si>
  <si>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</si>
  <si>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</si>
  <si>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</si>
  <si>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</si>
  <si>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</si>
  <si>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</si>
  <si>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</si>
  <si>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</si>
  <si>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</si>
  <si>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</si>
  <si>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</si>
  <si>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</si>
  <si>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</si>
  <si>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</si>
  <si>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</si>
  <si>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</si>
  <si>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</si>
  <si>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</si>
  <si>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</si>
  <si>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</si>
  <si>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</si>
  <si>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</si>
  <si>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</si>
  <si>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</si>
  <si>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</si>
  <si>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</si>
  <si>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</si>
  <si>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</si>
  <si>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</si>
  <si>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</si>
  <si>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</si>
  <si>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</si>
  <si>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</si>
  <si>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</si>
  <si>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</si>
  <si>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</si>
  <si>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</si>
  <si>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</si>
  <si>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</si>
  <si>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</si>
  <si>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</si>
  <si>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</si>
  <si>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</si>
  <si>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</si>
  <si>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</si>
  <si>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</si>
  <si>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</si>
  <si>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</si>
  <si>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</si>
  <si>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</si>
  <si>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</si>
  <si>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</si>
  <si>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</si>
  <si>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</si>
  <si>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</si>
  <si>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</si>
  <si>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</si>
  <si>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</si>
  <si>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</si>
  <si>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</si>
  <si>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</si>
  <si>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</si>
  <si>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</si>
  <si>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</si>
  <si>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</si>
  <si>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</si>
  <si>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</si>
  <si>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</si>
  <si>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</si>
  <si>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</si>
  <si>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</si>
  <si>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</si>
  <si>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</si>
  <si>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</si>
  <si>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</si>
  <si>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</si>
  <si>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</si>
  <si>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</si>
  <si>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</si>
  <si>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</si>
  <si>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</si>
  <si>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</si>
  <si>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</si>
  <si>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</si>
  <si>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</si>
  <si>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</si>
  <si>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</si>
  <si>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</si>
  <si>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</si>
  <si>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</si>
  <si>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</si>
  <si>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</si>
  <si>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</si>
  <si>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</si>
  <si>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</si>
  <si>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</si>
  <si>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</si>
  <si>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</si>
  <si>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</si>
  <si>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</si>
  <si>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</si>
  <si>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</si>
  <si>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</si>
  <si>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</si>
  <si>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</si>
  <si>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</si>
  <si>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</si>
  <si>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</si>
  <si>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</si>
  <si>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</si>
  <si>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</si>
  <si>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</si>
  <si>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</si>
  <si>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</si>
  <si>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</si>
  <si>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</si>
  <si>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</si>
  <si>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</si>
  <si>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</si>
  <si>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</si>
  <si>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</si>
  <si>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</si>
  <si>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</si>
  <si>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</si>
  <si>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</si>
  <si>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</si>
  <si>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</si>
  <si>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</si>
  <si>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</si>
  <si>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</si>
  <si>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</si>
  <si>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</si>
  <si>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</si>
  <si>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</si>
  <si>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</si>
  <si>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</si>
  <si>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</si>
  <si>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</si>
  <si>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</si>
  <si>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</si>
  <si>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</si>
  <si>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</si>
  <si>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</si>
  <si>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</si>
  <si>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</si>
  <si>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</si>
  <si>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</si>
  <si>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</si>
  <si>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</si>
  <si>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</si>
  <si>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</si>
  <si>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</si>
  <si>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</si>
  <si>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</si>
  <si>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</si>
  <si>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</si>
  <si>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</si>
  <si>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</si>
  <si>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</si>
  <si>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</si>
  <si>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</si>
  <si>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</si>
  <si>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</si>
  <si>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</si>
  <si>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</si>
  <si>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</si>
  <si>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</si>
  <si>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</si>
  <si>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</si>
  <si>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</si>
  <si>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</si>
  <si>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</si>
  <si>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</si>
  <si>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</si>
  <si>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</si>
  <si>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</si>
  <si>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</si>
  <si>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</si>
  <si>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</si>
  <si>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</si>
  <si>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</si>
  <si>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</si>
  <si>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</si>
  <si>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</si>
  <si>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</si>
  <si>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</si>
  <si>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</si>
  <si>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</si>
  <si>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</si>
  <si>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</si>
  <si>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</si>
  <si>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</si>
  <si>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</si>
  <si>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</si>
  <si>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</si>
  <si>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</si>
  <si>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</si>
  <si>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</si>
  <si>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</si>
  <si>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</si>
  <si>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</si>
  <si>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</si>
  <si>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</si>
  <si>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</si>
  <si>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</si>
  <si>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</si>
  <si>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</si>
  <si>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</si>
  <si>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</si>
  <si>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</si>
  <si>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</si>
  <si>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</si>
  <si>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</si>
  <si>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</si>
  <si>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</si>
  <si>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</si>
  <si>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</si>
  <si>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</si>
  <si>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</si>
  <si>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</si>
  <si>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</si>
  <si>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</si>
  <si>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</si>
  <si>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</si>
  <si>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</si>
  <si>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</si>
  <si>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</si>
  <si>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</si>
  <si>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</si>
  <si>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</si>
  <si>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</si>
  <si>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</si>
  <si>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</si>
  <si>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</si>
  <si>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</si>
  <si>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</si>
  <si>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</si>
  <si>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</si>
  <si>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</si>
  <si>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</si>
  <si>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</si>
  <si>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</si>
  <si>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</si>
  <si>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</si>
  <si>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</si>
  <si>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</si>
  <si>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</si>
  <si>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</si>
  <si>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</si>
  <si>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</si>
  <si>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</si>
  <si>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</si>
  <si>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</si>
  <si>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</si>
  <si>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</si>
  <si>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</si>
  <si>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</si>
  <si>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</si>
  <si>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</si>
  <si>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</si>
  <si>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</si>
  <si>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</si>
  <si>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</si>
  <si>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</si>
  <si>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</si>
  <si>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</si>
  <si>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</si>
  <si>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</si>
  <si>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</si>
  <si>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</si>
  <si>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</si>
  <si>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</si>
  <si>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</si>
  <si>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</si>
  <si>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</si>
  <si>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</si>
  <si>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</si>
  <si>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</si>
  <si>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</si>
  <si>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</si>
  <si>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</si>
  <si>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</si>
  <si>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</si>
  <si>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</si>
  <si>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</si>
  <si>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</si>
  <si>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</si>
  <si>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</si>
  <si>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</si>
  <si>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</si>
  <si>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</si>
  <si>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</si>
  <si>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</si>
  <si>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</si>
  <si>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</si>
  <si>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</si>
  <si>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</si>
  <si>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</si>
  <si>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</si>
  <si>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</si>
  <si>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</si>
  <si>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</si>
  <si>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</si>
  <si>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</si>
  <si>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</si>
  <si>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</si>
  <si>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</si>
  <si>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</si>
  <si>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</si>
  <si>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</si>
  <si>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</si>
  <si>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</si>
  <si>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</si>
  <si>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</si>
  <si>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</si>
  <si>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</si>
  <si>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</si>
  <si>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</si>
  <si>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</si>
  <si>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</si>
  <si>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</si>
  <si>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</si>
  <si>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</si>
  <si>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</si>
  <si>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</si>
  <si>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</si>
  <si>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</si>
  <si>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</si>
  <si>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</si>
  <si>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</si>
  <si>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</si>
  <si>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</si>
  <si>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</si>
  <si>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</si>
  <si>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</si>
  <si>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</si>
  <si>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</si>
  <si>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</si>
  <si>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</si>
  <si>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</si>
  <si>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</si>
  <si>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</si>
  <si>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</si>
  <si>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</si>
  <si>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</si>
  <si>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</si>
  <si>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</si>
  <si>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</si>
  <si>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</si>
  <si>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</si>
  <si>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</si>
  <si>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</si>
  <si>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</si>
  <si>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</si>
  <si>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</si>
  <si>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</si>
  <si>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</si>
  <si>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</si>
  <si>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</si>
  <si>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</si>
  <si>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</si>
  <si>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</si>
  <si>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</si>
  <si>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</si>
  <si>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</si>
  <si>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</si>
  <si>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</si>
  <si>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</si>
  <si>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</si>
  <si>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</si>
  <si>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</si>
  <si>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</si>
  <si>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</si>
  <si>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</si>
  <si>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</si>
  <si>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</si>
  <si>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</si>
  <si>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</si>
  <si>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</si>
  <si>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</si>
  <si>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</si>
  <si>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</si>
  <si>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</si>
  <si>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</si>
  <si>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</si>
  <si>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</si>
  <si>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</si>
  <si>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</si>
  <si>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</si>
  <si>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</si>
  <si>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</si>
  <si>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</si>
  <si>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</si>
  <si>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</si>
  <si>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</si>
  <si>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</si>
  <si>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</si>
  <si>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</si>
  <si>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</si>
  <si>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</si>
  <si>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</si>
  <si>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</si>
  <si>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</si>
  <si>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</si>
  <si>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</si>
  <si>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</si>
  <si>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</si>
  <si>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</si>
  <si>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</si>
  <si>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</si>
  <si>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</si>
  <si>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</si>
  <si>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</si>
  <si>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</si>
  <si>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</si>
  <si>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</si>
  <si>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</si>
  <si>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</si>
  <si>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</si>
  <si>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</si>
  <si>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</si>
  <si>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</si>
  <si>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</si>
  <si>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</si>
  <si>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</si>
  <si>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</si>
  <si>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</si>
  <si>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</si>
  <si>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</si>
  <si>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</si>
  <si>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</si>
  <si>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</si>
  <si>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</si>
  <si>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</si>
  <si>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</si>
  <si>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</si>
  <si>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</si>
  <si>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</si>
  <si>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</si>
  <si>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</si>
  <si>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</si>
  <si>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</si>
  <si>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</si>
  <si>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</si>
  <si>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</si>
  <si>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</si>
  <si>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</si>
  <si>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</si>
  <si>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</si>
  <si>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</si>
  <si>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</si>
  <si>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</si>
  <si>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</si>
  <si>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</si>
  <si>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</si>
  <si>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</si>
  <si>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</si>
  <si>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</si>
  <si>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</si>
  <si>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</si>
  <si>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</si>
  <si>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</si>
  <si>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</si>
  <si>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</si>
  <si>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</si>
  <si>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</si>
  <si>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</si>
  <si>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</si>
  <si>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</si>
  <si>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</si>
  <si>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</si>
  <si>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</si>
  <si>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</si>
  <si>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</si>
  <si>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</si>
  <si>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</si>
  <si>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</si>
  <si>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</si>
  <si>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</si>
  <si>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</si>
  <si>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</si>
  <si>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</si>
  <si>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</si>
  <si>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</si>
  <si>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</si>
  <si>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</si>
  <si>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</si>
  <si>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</si>
  <si>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</si>
  <si>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</si>
  <si>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</si>
  <si>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</si>
  <si>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</si>
  <si>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</si>
  <si>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</si>
  <si>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</si>
  <si>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</si>
  <si>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</si>
  <si>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</si>
  <si>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</si>
  <si>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</si>
  <si>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</si>
  <si>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</si>
  <si>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</si>
  <si>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</si>
  <si>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</si>
  <si>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</si>
  <si>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</si>
  <si>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</si>
  <si>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</si>
  <si>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</si>
  <si>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</si>
  <si>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</si>
  <si>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</si>
  <si>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</si>
  <si>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</si>
  <si>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</si>
  <si>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</si>
  <si>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</si>
  <si>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</si>
  <si>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</si>
  <si>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</si>
  <si>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</si>
  <si>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</si>
  <si>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</si>
  <si>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</si>
  <si>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</si>
  <si>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</si>
  <si>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</si>
  <si>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</si>
  <si>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</si>
  <si>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</si>
  <si>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</si>
  <si>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</si>
  <si>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</si>
  <si>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</si>
  <si>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</si>
  <si>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</si>
  <si>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</si>
  <si>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</si>
  <si>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</si>
  <si>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</si>
  <si>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</si>
  <si>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</si>
  <si>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</si>
  <si>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</si>
  <si>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</si>
  <si>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</si>
  <si>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</si>
  <si>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</si>
  <si>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</si>
  <si>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</si>
  <si>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</si>
  <si>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</si>
  <si>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</si>
  <si>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</si>
  <si>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</si>
  <si>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</si>
  <si>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</si>
  <si>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</si>
  <si>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</si>
  <si>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</si>
  <si>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</si>
  <si>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</si>
  <si>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</si>
  <si>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</si>
  <si>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</si>
  <si>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</si>
  <si>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</si>
  <si>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</si>
  <si>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</si>
  <si>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</si>
  <si>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</si>
  <si>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</si>
  <si>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</si>
  <si>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</si>
  <si>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</si>
  <si>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</si>
  <si>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</si>
  <si>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</si>
  <si>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</si>
  <si>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</si>
  <si>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</si>
  <si>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</si>
  <si>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</si>
  <si>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</si>
  <si>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</si>
  <si>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</si>
  <si>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</si>
  <si>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</si>
  <si>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</si>
  <si>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</si>
  <si>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</si>
  <si>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</si>
  <si>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</si>
  <si>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</si>
  <si>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</si>
  <si>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</si>
  <si>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</si>
  <si>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</si>
  <si>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</si>
  <si>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</si>
  <si>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</si>
  <si>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</si>
  <si>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</si>
  <si>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</si>
  <si>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</si>
  <si>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</si>
  <si>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</si>
  <si>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</si>
  <si>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</si>
  <si>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</si>
  <si>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</si>
  <si>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</si>
  <si>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</si>
  <si>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</si>
  <si>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</si>
  <si>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</si>
  <si>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</si>
  <si>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</si>
  <si>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</si>
  <si>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</si>
  <si>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</si>
  <si>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</si>
  <si>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</si>
  <si>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</si>
  <si>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</si>
  <si>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</si>
  <si>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</si>
  <si>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</si>
  <si>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</si>
  <si>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</si>
  <si>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</si>
  <si>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</si>
  <si>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</si>
  <si>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</si>
  <si>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</si>
  <si>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</si>
  <si>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</si>
  <si>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</si>
  <si>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</si>
  <si>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</si>
  <si>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</si>
  <si>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</si>
  <si>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</si>
  <si>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</si>
  <si>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</si>
  <si>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</si>
  <si>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</si>
  <si>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</si>
  <si>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</si>
  <si>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</si>
  <si>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</si>
  <si>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</si>
  <si>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</si>
  <si>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</si>
  <si>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</si>
  <si>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</si>
  <si>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</si>
  <si>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</si>
  <si>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</si>
  <si>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</si>
  <si>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</si>
  <si>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</si>
  <si>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</si>
  <si>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</si>
  <si>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</si>
  <si>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</si>
  <si>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</si>
  <si>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</si>
  <si>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</si>
  <si>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</si>
  <si>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</si>
  <si>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</si>
  <si>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</si>
  <si>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</si>
  <si>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</si>
  <si>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</si>
  <si>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</si>
  <si>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</si>
  <si>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</si>
  <si>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</si>
  <si>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</si>
  <si>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</si>
  <si>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</si>
  <si>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</si>
  <si>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</si>
  <si>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</si>
  <si>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</si>
  <si>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</si>
  <si>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</si>
  <si>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</si>
  <si>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</si>
  <si>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</si>
  <si>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</si>
  <si>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</si>
  <si>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</si>
  <si>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</si>
  <si>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</si>
  <si>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</si>
  <si>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</si>
  <si>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</si>
  <si>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</si>
  <si>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</si>
  <si>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</si>
  <si>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</si>
  <si>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</si>
  <si>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</si>
  <si>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</si>
  <si>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</si>
  <si>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</si>
  <si>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</si>
  <si>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</si>
  <si>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</si>
  <si>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</si>
  <si>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</si>
  <si>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</si>
  <si>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</si>
  <si>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</si>
  <si>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</si>
  <si>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</si>
  <si>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</si>
  <si>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</si>
  <si>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</si>
  <si>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</si>
  <si>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</si>
  <si>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</si>
  <si>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</si>
  <si>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</si>
  <si>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</si>
  <si>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</si>
  <si>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</si>
  <si>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</si>
  <si>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</si>
  <si>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</si>
  <si>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</si>
  <si>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</si>
  <si>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</si>
  <si>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</si>
  <si>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</si>
  <si>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</si>
  <si>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</si>
  <si>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</si>
  <si>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</si>
  <si>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</si>
  <si>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</si>
  <si>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</si>
  <si>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</si>
  <si>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</si>
  <si>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</si>
  <si>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</si>
  <si>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</si>
  <si>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</si>
  <si>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</si>
  <si>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</si>
  <si>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</si>
  <si>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</si>
  <si>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</si>
  <si>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</si>
  <si>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</si>
  <si>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</si>
  <si>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</si>
  <si>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</si>
  <si>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</si>
  <si>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</si>
  <si>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</si>
  <si>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</si>
  <si>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</si>
  <si>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</si>
  <si>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</si>
  <si>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</si>
  <si>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</si>
  <si>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</si>
  <si>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</si>
  <si>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</si>
  <si>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</si>
  <si>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</si>
  <si>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</si>
  <si>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</si>
  <si>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</si>
  <si>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</si>
  <si>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</si>
  <si>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</si>
  <si>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</si>
  <si>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</si>
  <si>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</si>
  <si>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</si>
  <si>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</si>
  <si>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</si>
  <si>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</si>
  <si>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</si>
  <si>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</si>
  <si>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</si>
  <si>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</si>
  <si>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</si>
  <si>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</si>
  <si>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</si>
  <si>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</si>
  <si>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</si>
  <si>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</si>
  <si>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</si>
  <si>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</si>
  <si>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</si>
  <si>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</si>
  <si>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</si>
  <si>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</si>
  <si>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</si>
  <si>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</si>
  <si>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</si>
  <si>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</si>
  <si>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</si>
  <si>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</si>
  <si>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</si>
  <si>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</si>
  <si>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</si>
  <si>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</si>
  <si>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</si>
  <si>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</si>
  <si>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</si>
  <si>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</si>
  <si>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</si>
  <si>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</si>
  <si>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</si>
  <si>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</si>
  <si>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</si>
  <si>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</si>
  <si>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</si>
  <si>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</si>
  <si>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</si>
  <si>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</si>
  <si>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</si>
  <si>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</si>
  <si>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</si>
  <si>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</si>
  <si>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</si>
  <si>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</si>
  <si>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</si>
  <si>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</si>
  <si>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</si>
  <si>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</si>
  <si>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</si>
  <si>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</si>
  <si>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</si>
  <si>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</si>
  <si>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</si>
  <si>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</si>
  <si>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</si>
  <si>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</si>
  <si>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</si>
  <si>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</si>
  <si>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</si>
  <si>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</si>
  <si>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</si>
  <si>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</si>
  <si>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</si>
  <si>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</si>
  <si>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</si>
  <si>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</si>
  <si>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</si>
  <si>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</si>
  <si>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</si>
  <si>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</si>
  <si>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</si>
  <si>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</si>
  <si>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</si>
  <si>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</si>
  <si>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</si>
  <si>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</si>
  <si>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</si>
  <si>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</si>
  <si>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</si>
  <si>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</si>
  <si>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</si>
  <si>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</si>
  <si>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</si>
  <si>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</si>
  <si>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</si>
  <si>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</si>
  <si>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</si>
  <si>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</si>
  <si>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</si>
  <si>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</si>
  <si>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</si>
  <si>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</si>
  <si>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</si>
  <si>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</si>
  <si>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</si>
  <si>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</si>
  <si>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</si>
  <si>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</si>
  <si>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</si>
  <si>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</si>
  <si>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</si>
  <si>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</si>
  <si>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</si>
  <si>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</si>
  <si>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</si>
  <si>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</si>
  <si>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</si>
  <si>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</si>
  <si>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</si>
  <si>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</si>
  <si>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</si>
  <si>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</si>
  <si>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</si>
  <si>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</si>
  <si>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</si>
  <si>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</si>
  <si>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</si>
  <si>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</si>
  <si>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</si>
  <si>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</si>
  <si>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</si>
  <si>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</si>
  <si>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</si>
  <si>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</si>
  <si>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</si>
  <si>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</si>
  <si>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</si>
  <si>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</si>
  <si>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</si>
  <si>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</si>
  <si>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</si>
  <si>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</si>
  <si>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</si>
  <si>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</si>
  <si>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</si>
  <si>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</si>
  <si>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</si>
  <si>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</si>
  <si>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</si>
  <si>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</si>
  <si>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</si>
  <si>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</si>
  <si>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</si>
  <si>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</si>
  <si>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</si>
  <si>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</si>
  <si>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</si>
  <si>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</si>
  <si>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</si>
  <si>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</si>
  <si>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</si>
  <si>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</si>
  <si>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</si>
  <si>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</si>
  <si>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</si>
  <si>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</si>
  <si>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</si>
  <si>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</si>
  <si>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</si>
  <si>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</si>
  <si>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</si>
  <si>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</si>
  <si>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</si>
  <si>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</si>
  <si>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</si>
  <si>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</si>
  <si>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</si>
  <si>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</si>
  <si>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</si>
  <si>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</si>
  <si>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</si>
  <si>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</si>
  <si>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</si>
  <si>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</si>
  <si>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</si>
  <si>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</si>
  <si>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</si>
  <si>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</si>
  <si>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</si>
  <si>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</si>
  <si>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</si>
  <si>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</si>
  <si>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</si>
  <si>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</si>
  <si>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</si>
  <si>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</si>
  <si>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</si>
  <si>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</si>
  <si>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</si>
  <si>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</si>
  <si>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</si>
  <si>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</si>
  <si>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</si>
  <si>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</si>
  <si>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</si>
  <si>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</si>
  <si>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</si>
  <si>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</si>
  <si>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</si>
  <si>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</si>
  <si>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</si>
  <si>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</si>
  <si>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</si>
  <si>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</si>
  <si>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</si>
  <si>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</si>
  <si>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</si>
  <si>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</si>
  <si>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</si>
  <si>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</si>
  <si>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</si>
  <si>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</si>
  <si>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</si>
  <si>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</si>
  <si>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</si>
  <si>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</si>
  <si>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</si>
  <si>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</si>
  <si>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</si>
  <si>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</si>
  <si>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</si>
  <si>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</si>
  <si>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</si>
  <si>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</si>
  <si>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</si>
  <si>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</si>
  <si>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</si>
  <si>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</si>
  <si>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</si>
  <si>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</si>
  <si>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</si>
  <si>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</si>
  <si>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</si>
  <si>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</si>
  <si>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</si>
  <si>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</si>
  <si>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</si>
  <si>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</si>
  <si>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</si>
  <si>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</si>
  <si>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</si>
  <si>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</si>
  <si>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</si>
  <si>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</si>
  <si>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</si>
  <si>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</si>
  <si>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</si>
  <si>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</si>
  <si>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</si>
  <si>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</si>
  <si>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</si>
  <si>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</si>
  <si>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</si>
  <si>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</si>
  <si>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</si>
  <si>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</si>
  <si>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</si>
  <si>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</si>
  <si>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</si>
  <si>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</si>
  <si>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</si>
  <si>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</si>
  <si>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</si>
  <si>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</si>
  <si>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</si>
  <si>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</si>
  <si>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</si>
  <si>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</si>
  <si>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</si>
  <si>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</si>
  <si>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</si>
  <si>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</si>
  <si>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</si>
  <si>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</si>
  <si>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</si>
  <si>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</si>
  <si>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</si>
  <si>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</si>
  <si>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</si>
  <si>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</si>
  <si>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</si>
  <si>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</si>
  <si>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</si>
  <si>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</si>
  <si>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</si>
  <si>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</si>
  <si>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</si>
  <si>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</si>
  <si>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</si>
  <si>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</si>
  <si>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</si>
  <si>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</si>
  <si>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</si>
  <si>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</si>
  <si>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</si>
  <si>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</si>
  <si>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</si>
  <si>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</si>
  <si>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</si>
  <si>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</si>
  <si>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</si>
  <si>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</si>
  <si>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</si>
  <si>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</si>
  <si>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</si>
  <si>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</si>
  <si>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</si>
  <si>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</si>
  <si>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</si>
  <si>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</si>
  <si>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</si>
  <si>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</si>
  <si>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</si>
  <si>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</si>
  <si>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</si>
  <si>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</si>
  <si>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</si>
  <si>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</si>
  <si>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</si>
  <si>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</si>
  <si>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</si>
  <si>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</si>
  <si>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</si>
  <si>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</si>
  <si>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</si>
  <si>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</si>
  <si>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</si>
  <si>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</si>
  <si>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</si>
  <si>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</si>
  <si>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</si>
  <si>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</si>
  <si>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</si>
  <si>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</si>
  <si>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</si>
  <si>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</si>
  <si>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</si>
  <si>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</si>
  <si>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</si>
  <si>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</si>
  <si>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</si>
  <si>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</si>
  <si>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</si>
  <si>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</si>
  <si>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</si>
  <si>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</si>
  <si>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</si>
  <si>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</si>
  <si>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</si>
  <si>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</si>
  <si>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</si>
  <si>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</si>
  <si>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</si>
  <si>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</si>
  <si>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</si>
  <si>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</si>
  <si>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</si>
  <si>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</si>
  <si>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</si>
  <si>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</si>
  <si>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</si>
  <si>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</si>
  <si>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</si>
  <si>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</si>
  <si>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</si>
  <si>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</si>
  <si>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</si>
  <si>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</si>
  <si>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</si>
  <si>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</si>
  <si>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</si>
  <si>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</si>
  <si>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</si>
  <si>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</si>
  <si>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</si>
  <si>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</si>
  <si>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</si>
  <si>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</si>
  <si>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</si>
  <si>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</si>
  <si>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</si>
  <si>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</si>
  <si>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</si>
  <si>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</si>
  <si>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</si>
  <si>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</si>
  <si>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</si>
  <si>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</si>
  <si>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</si>
  <si>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</si>
  <si>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</si>
  <si>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</si>
  <si>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</si>
  <si>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</si>
  <si>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</si>
  <si>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</si>
  <si>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</si>
  <si>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</si>
  <si>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</si>
  <si>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</si>
  <si>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</si>
  <si>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</si>
  <si>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</si>
  <si>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</si>
  <si>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</si>
  <si>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</si>
  <si>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</si>
  <si>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</si>
  <si>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</si>
  <si>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</si>
  <si>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</si>
  <si>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</si>
  <si>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</si>
  <si>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</si>
  <si>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</si>
  <si>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</si>
  <si>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</si>
  <si>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</si>
  <si>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</si>
  <si>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</si>
  <si>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</si>
  <si>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</si>
  <si>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</si>
  <si>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</si>
  <si>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</si>
  <si>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</si>
  <si>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</si>
  <si>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</si>
  <si>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</si>
  <si>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</si>
  <si>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</si>
  <si>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</si>
  <si>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</si>
  <si>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</si>
  <si>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</si>
  <si>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</si>
  <si>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</si>
  <si>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</si>
  <si>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</si>
  <si>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</si>
  <si>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</si>
  <si>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</si>
  <si>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</si>
  <si>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</si>
  <si>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</si>
  <si>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</si>
  <si>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</si>
  <si>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</si>
  <si>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</si>
  <si>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</si>
  <si>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</si>
  <si>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</si>
  <si>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</si>
  <si>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</si>
  <si>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</si>
  <si>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</si>
  <si>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</si>
  <si>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</si>
  <si>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</si>
  <si>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</si>
  <si>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</si>
  <si>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</si>
  <si>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</si>
  <si>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</si>
  <si>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</si>
  <si>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</si>
  <si>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</si>
  <si>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</si>
  <si>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</si>
  <si>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</si>
  <si>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</si>
  <si>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</si>
  <si>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</si>
  <si>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</si>
  <si>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</si>
  <si>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</si>
  <si>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</si>
  <si>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</si>
  <si>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</si>
  <si>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</si>
  <si>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</si>
  <si>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</si>
  <si>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</si>
  <si>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</si>
  <si>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</si>
  <si>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</si>
  <si>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</si>
  <si>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</si>
  <si>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</si>
  <si>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</si>
  <si>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</si>
  <si>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</si>
  <si>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</si>
  <si>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</si>
  <si>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</si>
  <si>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</si>
  <si>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</si>
  <si>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</si>
  <si>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</si>
  <si>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</si>
  <si>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</si>
  <si>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</si>
  <si>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</si>
  <si>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</si>
  <si>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</si>
  <si>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</si>
  <si>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</si>
  <si>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</si>
  <si>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</si>
  <si>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</si>
  <si>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</si>
  <si>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</si>
  <si>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</si>
  <si>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</si>
  <si>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</si>
  <si>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</si>
  <si>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</si>
  <si>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</si>
  <si>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</si>
  <si>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</si>
  <si>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</si>
  <si>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</si>
  <si>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</si>
  <si>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</si>
  <si>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</si>
  <si>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</si>
  <si>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</si>
  <si>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</si>
  <si>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</si>
  <si>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</si>
  <si>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</si>
  <si>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</si>
  <si>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</si>
  <si>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</si>
  <si>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</si>
  <si>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</si>
  <si>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</si>
  <si>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</si>
  <si>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</si>
  <si>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</si>
  <si>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</si>
  <si>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</si>
  <si>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</si>
  <si>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</si>
  <si>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</si>
  <si>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</si>
  <si>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</si>
  <si>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</si>
  <si>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</si>
  <si>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</si>
  <si>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</si>
  <si>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</si>
  <si>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</si>
  <si>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</si>
  <si>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</si>
  <si>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</si>
  <si>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</si>
  <si>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</si>
  <si>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</si>
  <si>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</si>
  <si>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</si>
  <si>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</si>
  <si>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</si>
  <si>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</si>
  <si>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</si>
  <si>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</si>
  <si>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</si>
  <si>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</si>
  <si>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</si>
  <si>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</si>
  <si>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</si>
  <si>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</si>
  <si>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</si>
  <si>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</si>
  <si>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</si>
  <si>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</si>
  <si>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</si>
  <si>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</si>
  <si>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</si>
  <si>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</si>
  <si>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</si>
  <si>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</si>
  <si>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</si>
  <si>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</si>
  <si>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</si>
  <si>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</si>
  <si>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</si>
  <si>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</si>
  <si>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</si>
  <si>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</si>
  <si>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</si>
  <si>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</si>
  <si>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</si>
  <si>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</si>
  <si>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</si>
  <si>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</si>
  <si>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</si>
  <si>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</si>
  <si>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</si>
  <si>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</si>
  <si>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</si>
  <si>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</si>
  <si>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</si>
  <si>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</si>
  <si>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</si>
  <si>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</si>
  <si>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</si>
  <si>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</si>
  <si>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</si>
  <si>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</si>
  <si>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</si>
  <si>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</si>
  <si>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</si>
  <si>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</si>
  <si>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</si>
  <si>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</si>
  <si>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</si>
  <si>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</si>
  <si>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</si>
  <si>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</si>
  <si>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</si>
  <si>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</si>
  <si>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</si>
  <si>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</si>
  <si>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</si>
  <si>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</si>
  <si>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</si>
  <si>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</si>
  <si>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</si>
  <si>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</si>
  <si>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</si>
  <si>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</si>
  <si>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</si>
  <si>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</si>
  <si>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</si>
  <si>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</si>
  <si>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</si>
  <si>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</si>
  <si>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</si>
  <si>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</si>
  <si>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</si>
  <si>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</si>
  <si>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</si>
  <si>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</si>
  <si>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</si>
  <si>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</si>
  <si>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</si>
  <si>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</si>
  <si>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</si>
  <si>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</si>
  <si>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</si>
  <si>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</si>
  <si>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</si>
  <si>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</si>
  <si>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</si>
  <si>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</si>
  <si>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</si>
  <si>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</si>
  <si>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</si>
  <si>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</si>
  <si>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</si>
  <si>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</si>
  <si>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</si>
  <si>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</si>
  <si>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</si>
  <si>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</si>
  <si>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</si>
  <si>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</si>
  <si>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</si>
  <si>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</si>
  <si>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</si>
  <si>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</si>
  <si>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</si>
  <si>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</si>
  <si>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</si>
  <si>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</si>
  <si>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</si>
  <si>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</si>
  <si>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</si>
  <si>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</si>
  <si>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</si>
  <si>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</si>
  <si>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</si>
  <si>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</si>
  <si>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</si>
  <si>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</si>
  <si>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</si>
  <si>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</si>
  <si>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</si>
  <si>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</si>
  <si>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</si>
  <si>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</si>
  <si>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</si>
  <si>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</si>
  <si>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</si>
  <si>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</si>
  <si>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</si>
  <si>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</si>
  <si>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</si>
  <si>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</si>
  <si>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</si>
  <si>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</si>
  <si>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</si>
  <si>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</si>
  <si>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</si>
  <si>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</si>
  <si>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</si>
  <si>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</si>
  <si>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</si>
  <si>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</si>
  <si>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</si>
  <si>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</si>
  <si>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</si>
  <si>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</si>
  <si>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</si>
  <si>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</si>
  <si>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</si>
  <si>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</si>
  <si>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</si>
  <si>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</si>
  <si>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</si>
  <si>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</si>
  <si>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</si>
  <si>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</si>
  <si>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</si>
  <si>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</si>
  <si>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</si>
  <si>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</si>
  <si>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</si>
  <si>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</si>
  <si>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</si>
  <si>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</si>
  <si>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</si>
  <si>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</si>
  <si>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</si>
  <si>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</si>
  <si>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</si>
  <si>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Central Solar Fotovoltaica de Sophia e LMAT associadas</t>
  </si>
  <si>
    <t>Fábio Cardona</t>
  </si>
  <si>
    <t>Conversão de matos com azinheiras/sobreiros em povoamentos de azinheiras</t>
  </si>
  <si>
    <t>manutenção de matos com azinheiras/sobreiros</t>
  </si>
  <si>
    <t>Conversão de matos com azinheiras/sobreiros em núcleo de azinheiras/sobreiros</t>
  </si>
  <si>
    <t>Conversão de matos com azinheiras/sobreiros em PT's</t>
  </si>
  <si>
    <t>Conversão de matos com azinheiras/sobreiros e afloramentos rochosos em acessos</t>
  </si>
  <si>
    <t>Conversão de matos com azinheiras/sobreiros e afloramentos rochosos em coberto herbáceo sob gestão</t>
  </si>
  <si>
    <t>Conversão de matos com azinheiras/sobreiros e afloramentos rochosos em povoamento de azinheiras</t>
  </si>
  <si>
    <t>Conversão de matos com azinheiras/sobreiros e afloramentos rochosos em povoamento de sobreiros</t>
  </si>
  <si>
    <t xml:space="preserve">Preservação de matos com azinheiras/sobreiros e afloramentos rochosos </t>
  </si>
  <si>
    <t>Conversão de matos com azinheiras/sobreiros e afloramentos rochosos em núcleos de azinheiras/sobreiros</t>
  </si>
  <si>
    <t>Conversão de matos com azinheiras/sobreiros e afloramentos rochosos em PT's</t>
  </si>
  <si>
    <t>Conversão de matos com azinheiras/sobreiros e afloramentos rochosos em sebe arbórea/arbustiva</t>
  </si>
  <si>
    <t>Conversão de núcleo de azinheiras/sobreiros em  acessos</t>
  </si>
  <si>
    <t>Conversão de núcleo de azinheiras/sobreiros em  coberto herbáceo sob gestão</t>
  </si>
  <si>
    <t>manutenção do núcleo de azinheiras/sobreiros</t>
  </si>
  <si>
    <t>Conversão de núcleo de azinheiras/sobreiros em  PT's</t>
  </si>
  <si>
    <t>Conversão de núcleo de azinheiras/sobreiros em sebe arbórea/arbustiva</t>
  </si>
  <si>
    <t>Conversão de núcleo de azinheiras/sobreiros em vias de comunicação</t>
  </si>
  <si>
    <t>Preservação de Núcleo de Azinheiras/Sobreiros com Afloramentos rochosos</t>
  </si>
  <si>
    <t>Conversão de olival em acessos</t>
  </si>
  <si>
    <t>Conversão de olival em coberto herbáceo sob gestão</t>
  </si>
  <si>
    <t>Conversão de olival em núcleo de azinheiras/sobreiros</t>
  </si>
  <si>
    <t>Preservação do olival</t>
  </si>
  <si>
    <t>Conversão de olival em PT's</t>
  </si>
  <si>
    <t>Conversão de olival em sebe arbórea/arbustiva</t>
  </si>
  <si>
    <t>Conversão de olival em sebe arbustiva</t>
  </si>
  <si>
    <t>Conversão de olival com afloramentos rochosos em acessos</t>
  </si>
  <si>
    <t>Conversão de olival com afloramentos rochosos em coberto herbáceo sob gestão</t>
  </si>
  <si>
    <t>olival com afloramentos rochosos a preservar</t>
  </si>
  <si>
    <t>Conversão de olival com afloramentos rochosos em sebe arbórea/arbustiva</t>
  </si>
  <si>
    <t>Conversão de Olival com Azinheiras/Sobreiros em acessos</t>
  </si>
  <si>
    <t>Conversão de Olival com Azinheiras/Sobreiros em coberto herbáceo</t>
  </si>
  <si>
    <t>Conversão de Olival com Azinheiras/Sobreiros em núcleo de azinheiras/sobreiro</t>
  </si>
  <si>
    <t xml:space="preserve">Preservação de Olival com Azinheiras/Sobreiros </t>
  </si>
  <si>
    <t>Conversão de Olival com Azinheiras/Sobreiros em PT's</t>
  </si>
  <si>
    <t>Pomar a preservar</t>
  </si>
  <si>
    <t>Conversão de Povoamento de Azinheiras/Sobreiros em acessos</t>
  </si>
  <si>
    <t>Conversão de Povoamento de Azinheiras/Sobreiros em coberto herbáceo</t>
  </si>
  <si>
    <t>Povoamento de Azinheiras/Sobreiros a preservar</t>
  </si>
  <si>
    <t>Conversão de Povoamento de Azinheiras/Sobreiros com Afloramentos rochosos em acessos</t>
  </si>
  <si>
    <t>Conversão de Povoamento de Azinheiras/Sobreiros com Afloramentos rochosos em coberto herbáceo</t>
  </si>
  <si>
    <t>Povoamento de Azinheiras/Sobreiros com Afloramentos rochosos a preservar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</si>
</sst>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5" fillId="5" borderId="17" xfId="0" applyFont="1" applyFill="1" applyBorder="1" applyAlignment="1">
      <alignment horizontal="center" vertical="center" wrapText="1"/>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7" fillId="0" borderId="0" xfId="0" applyFont="1" applyAlignment="1">
      <alignment horizontal="center"/>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11" fillId="10" borderId="7" xfId="0" applyFont="1" applyFill="1" applyBorder="1" applyAlignment="1">
      <alignment horizontal="left" vertical="center"/>
    </xf>
    <xf numFmtId="0" fontId="52" fillId="10" borderId="12" xfId="0" applyFont="1" applyFill="1" applyBorder="1" applyAlignment="1">
      <alignment horizontal="center"/>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2" fillId="0" borderId="7" xfId="0" applyFont="1" applyBorder="1" applyAlignment="1">
      <alignment horizontal="center" vertical="center" wrapText="1"/>
    </xf>
    <xf numFmtId="0" fontId="11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6" fillId="22" borderId="0" xfId="0" applyFont="1" applyFill="1" applyAlignment="1">
      <alignment vertical="center" wrapText="1"/>
    </xf>
    <xf numFmtId="0" fontId="45" fillId="5" borderId="15" xfId="0" applyFont="1" applyFill="1" applyBorder="1" applyAlignment="1">
      <alignment horizontal="center" vertical="center"/>
    </xf>
    <xf numFmtId="0" fontId="45" fillId="5" borderId="17" xfId="0" applyFont="1" applyFill="1" applyBorder="1" applyAlignment="1">
      <alignment horizontal="center" vertical="center"/>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48" fillId="13" borderId="0" xfId="0" applyFont="1" applyFill="1" applyAlignment="1">
      <alignment horizontal="left" vertical="top"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9" xfId="0" applyFont="1" applyFill="1" applyBorder="1" applyAlignment="1">
      <alignment horizontal="center" vertical="center"/>
    </xf>
    <xf numFmtId="0" fontId="8" fillId="5" borderId="17"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7" xfId="0" applyFont="1" applyFill="1" applyBorder="1" applyAlignment="1">
      <alignment horizontal="center" vertical="top"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46" fillId="0" borderId="0" xfId="0" applyFont="1" applyAlignment="1">
      <alignment horizontal="left" vertical="center" wrapText="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5" borderId="7" xfId="0" applyFont="1" applyFill="1" applyBorder="1" applyAlignment="1">
      <alignment horizontal="center"/>
    </xf>
    <xf numFmtId="0" fontId="62" fillId="0" borderId="0" xfId="0" applyFont="1" applyAlignment="1">
      <alignment horizontal="left" vertical="center" wrapText="1" indent="3"/>
    </xf>
    <xf numFmtId="0" fontId="46" fillId="0" borderId="0" xfId="0" applyFont="1" applyAlignment="1">
      <alignment horizontal="left" vertical="center" wrapText="1" indent="5"/>
    </xf>
    <xf numFmtId="0" fontId="46" fillId="0" borderId="0" xfId="0" applyFont="1" applyAlignment="1">
      <alignment horizontal="left" vertical="center" wrapText="1" indent="7"/>
    </xf>
    <xf numFmtId="0" fontId="47" fillId="22" borderId="0" xfId="0" applyFont="1" applyFill="1" applyAlignment="1">
      <alignment horizontal="left" vertical="top" wrapText="1"/>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0" fillId="0" borderId="10" xfId="0" applyBorder="1" applyAlignment="1">
      <alignment horizontal="center"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99" fillId="4" borderId="15"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13" borderId="19"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52" fillId="4" borderId="0" xfId="0" applyFont="1" applyFill="1" applyAlignment="1">
      <alignment horizontal="left"/>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14" fontId="46" fillId="7" borderId="1" xfId="0" applyNumberFormat="1" applyFont="1" applyFill="1" applyBorder="1" applyAlignment="1" applyProtection="1">
      <alignment horizontal="center" vertical="center"/>
      <protection locked="0"/>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5580" y="345765"/>
          <a:ext cx="6196344" cy="1076598"/>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topLeftCell="A3"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35" t="s">
        <v>1555</v>
      </c>
      <c r="C11" s="1035"/>
      <c r="D11" s="1035"/>
      <c r="E11" s="1035"/>
      <c r="F11" s="1035"/>
      <c r="G11" s="1035"/>
      <c r="H11" s="1035"/>
      <c r="I11" s="1035"/>
      <c r="J11" s="1035"/>
      <c r="K11" s="1035"/>
      <c r="L11" s="1035"/>
      <c r="M11" s="1035"/>
      <c r="N11" s="1035"/>
      <c r="O11" s="1035"/>
      <c r="P11" s="1035"/>
      <c r="Q11" s="1035"/>
      <c r="R11" s="1035"/>
      <c r="S11" s="1035"/>
      <c r="T11" s="1035"/>
      <c r="U11" s="1035"/>
      <c r="V11" s="1035"/>
      <c r="W11" s="1035"/>
    </row>
    <row r="12" spans="2:23" ht="46.95" customHeight="1" x14ac:dyDescent="0.35">
      <c r="B12" s="1035" t="s">
        <v>1556</v>
      </c>
      <c r="C12" s="1035"/>
      <c r="D12" s="1035"/>
      <c r="E12" s="1035"/>
      <c r="F12" s="1035"/>
      <c r="G12" s="1035"/>
      <c r="H12" s="1035"/>
      <c r="I12" s="1035"/>
      <c r="J12" s="1035"/>
      <c r="K12" s="1035"/>
      <c r="L12" s="1035"/>
      <c r="M12" s="1035"/>
      <c r="N12" s="1035"/>
      <c r="O12" s="1035"/>
      <c r="P12" s="1035"/>
      <c r="Q12" s="1035"/>
      <c r="R12" s="1035"/>
      <c r="S12" s="1035"/>
      <c r="T12" s="1035"/>
      <c r="U12" s="1035"/>
      <c r="V12" s="1035"/>
      <c r="W12" s="1035"/>
    </row>
    <row r="13" spans="2:23" ht="43.2" customHeight="1" x14ac:dyDescent="0.35">
      <c r="B13" s="1035" t="s">
        <v>1557</v>
      </c>
      <c r="C13" s="1035"/>
      <c r="D13" s="1035"/>
      <c r="E13" s="1035"/>
      <c r="F13" s="1035"/>
      <c r="G13" s="1035"/>
      <c r="H13" s="1035"/>
      <c r="I13" s="1035"/>
      <c r="J13" s="1035"/>
      <c r="K13" s="1035"/>
      <c r="L13" s="1035"/>
      <c r="M13" s="1035"/>
      <c r="N13" s="1035"/>
      <c r="O13" s="1035"/>
      <c r="P13" s="1035"/>
      <c r="Q13" s="1035"/>
      <c r="R13" s="1035"/>
      <c r="S13" s="1035"/>
      <c r="T13" s="1035"/>
      <c r="U13" s="1035"/>
      <c r="V13" s="1035"/>
      <c r="W13" s="1035"/>
    </row>
    <row r="14" spans="2:23" ht="64.2" customHeight="1" x14ac:dyDescent="0.35">
      <c r="B14" s="1035" t="s">
        <v>1558</v>
      </c>
      <c r="C14" s="1035"/>
      <c r="D14" s="1035"/>
      <c r="E14" s="1035"/>
      <c r="F14" s="1035"/>
      <c r="G14" s="1035"/>
      <c r="H14" s="1035"/>
      <c r="I14" s="1035"/>
      <c r="J14" s="1035"/>
      <c r="K14" s="1035"/>
      <c r="L14" s="1035"/>
      <c r="M14" s="1035"/>
      <c r="N14" s="1035"/>
      <c r="O14" s="1035"/>
      <c r="P14" s="1035"/>
      <c r="Q14" s="1035"/>
      <c r="R14" s="1035"/>
      <c r="S14" s="1035"/>
      <c r="T14" s="1035"/>
      <c r="U14" s="1035"/>
      <c r="V14" s="1035"/>
      <c r="W14" s="1035"/>
    </row>
    <row r="15" spans="2:23" ht="57" customHeight="1" x14ac:dyDescent="0.35">
      <c r="B15" s="1036" t="s">
        <v>1605</v>
      </c>
      <c r="C15" s="1036"/>
      <c r="D15" s="1036"/>
      <c r="E15" s="1036"/>
      <c r="F15" s="1036"/>
      <c r="G15" s="1036"/>
      <c r="H15" s="1036"/>
      <c r="I15" s="1036"/>
      <c r="J15" s="1036"/>
      <c r="K15" s="1036"/>
      <c r="L15" s="1036"/>
      <c r="M15" s="1036"/>
      <c r="N15" s="1036"/>
      <c r="O15" s="1036"/>
      <c r="P15" s="1036"/>
      <c r="Q15" s="1036"/>
      <c r="R15" s="1036"/>
      <c r="S15" s="1036"/>
      <c r="T15" s="1036"/>
      <c r="U15" s="1036"/>
      <c r="V15" s="1036"/>
      <c r="W15" s="1036"/>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21" t="s">
        <v>557</v>
      </c>
      <c r="U18" s="1121"/>
    </row>
    <row r="19" spans="2:24" ht="15" customHeight="1" thickBot="1" x14ac:dyDescent="0.35">
      <c r="D19" s="1"/>
      <c r="E19" s="8"/>
      <c r="F19" s="1128" t="s">
        <v>1117</v>
      </c>
      <c r="G19" s="1129"/>
      <c r="H19" s="1130"/>
      <c r="I19" s="1128" t="s">
        <v>47</v>
      </c>
      <c r="J19" s="1129"/>
      <c r="K19" s="1130"/>
      <c r="L19" s="1125" t="s">
        <v>557</v>
      </c>
      <c r="M19" s="1125" t="s">
        <v>558</v>
      </c>
      <c r="N19" s="1122"/>
      <c r="O19" s="1121" t="str">
        <f>C14</f>
        <v>Viagens a negócios</v>
      </c>
      <c r="P19" s="1122"/>
      <c r="Q19" s="1122"/>
      <c r="R19" s="1124" t="str">
        <f>C13</f>
        <v>Transporte a montante da empresa</v>
      </c>
      <c r="S19" s="1124" t="str">
        <f>C15</f>
        <v>Transporte a jusante da empresa</v>
      </c>
      <c r="T19" s="1121"/>
      <c r="U19" s="1121"/>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26"/>
      <c r="M20" s="1126"/>
      <c r="N20" s="1127"/>
      <c r="O20" s="1121"/>
      <c r="P20" s="1122"/>
      <c r="Q20" s="1122"/>
      <c r="R20" s="1123"/>
      <c r="S20" s="1123"/>
      <c r="T20" s="3" t="s">
        <v>555</v>
      </c>
      <c r="U20" s="3" t="s">
        <v>556</v>
      </c>
      <c r="V20" t="s">
        <v>736</v>
      </c>
      <c r="W20" t="s">
        <v>737</v>
      </c>
      <c r="X20" t="s">
        <v>738</v>
      </c>
    </row>
    <row r="21" spans="2:24" ht="14.7" customHeight="1" thickBot="1" x14ac:dyDescent="0.35">
      <c r="B21" s="1131" t="s">
        <v>241</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35">
      <c r="B22" s="1132"/>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32"/>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32"/>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32"/>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32"/>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32"/>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32"/>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32"/>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32"/>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32"/>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32"/>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32"/>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32"/>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32"/>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32"/>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32"/>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32"/>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32"/>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32"/>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32"/>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32"/>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32"/>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32"/>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32"/>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32"/>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32"/>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32"/>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32"/>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32"/>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32"/>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32"/>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32"/>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32"/>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32"/>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32"/>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32"/>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32"/>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32"/>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32"/>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32"/>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32"/>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32"/>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32"/>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32"/>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32"/>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32"/>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32"/>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32"/>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32"/>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32"/>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32"/>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32"/>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32"/>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32"/>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32"/>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32"/>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32"/>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32"/>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32"/>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32"/>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32"/>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32"/>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32"/>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32"/>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32"/>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32"/>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32"/>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32"/>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32"/>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32"/>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32"/>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32"/>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32"/>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32"/>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32"/>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32"/>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32"/>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32"/>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32"/>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32"/>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32"/>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32"/>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32"/>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32"/>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32"/>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32"/>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32"/>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32"/>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32"/>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32"/>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32"/>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32"/>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32"/>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32"/>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32"/>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32"/>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32"/>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32"/>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33"/>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37"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38"/>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38"/>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38"/>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38"/>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38"/>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38"/>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38"/>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38"/>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38"/>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38"/>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38"/>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38"/>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38"/>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38"/>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38"/>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38"/>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38"/>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38"/>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38"/>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38"/>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38"/>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38"/>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38"/>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38"/>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38"/>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38"/>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38"/>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38"/>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38"/>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38"/>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38"/>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38"/>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38"/>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38"/>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38"/>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38"/>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38"/>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38"/>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38"/>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38"/>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38"/>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38"/>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38"/>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38"/>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38"/>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38"/>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38"/>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38"/>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38"/>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38"/>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38"/>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38"/>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38"/>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38"/>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38"/>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38"/>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38"/>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38"/>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38"/>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38"/>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38"/>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38"/>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38"/>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38"/>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38"/>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38"/>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38"/>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38"/>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38"/>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38"/>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38"/>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38"/>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38"/>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38"/>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38"/>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38"/>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38"/>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38"/>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38"/>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38"/>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38"/>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38"/>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38"/>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38"/>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38"/>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38"/>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38"/>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38"/>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38"/>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38"/>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38"/>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38"/>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38"/>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38"/>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38"/>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38"/>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38"/>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38"/>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39"/>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0"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1"/>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1"/>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1"/>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1"/>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1"/>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1"/>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1"/>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1"/>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1"/>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1"/>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1"/>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1"/>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1"/>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1"/>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1"/>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1"/>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1"/>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1"/>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1"/>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1"/>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1"/>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1"/>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1"/>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1"/>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1"/>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1"/>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1"/>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1"/>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1"/>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1"/>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1"/>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1"/>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1"/>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1"/>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1"/>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1"/>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1"/>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1"/>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1"/>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1"/>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1"/>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1"/>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1"/>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1"/>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1"/>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1"/>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1"/>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1"/>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1"/>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1"/>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1"/>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1"/>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1"/>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1"/>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1"/>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1"/>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1"/>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1"/>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1"/>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1"/>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1"/>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1"/>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1"/>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1"/>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1"/>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1"/>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1"/>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1"/>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1"/>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1"/>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1"/>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1"/>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1"/>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1"/>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1"/>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1"/>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1"/>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1"/>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1"/>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1"/>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1"/>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1"/>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1"/>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1"/>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1"/>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1"/>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1"/>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1"/>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1"/>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1"/>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1"/>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1"/>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1"/>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1"/>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1"/>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1"/>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1"/>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1"/>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42"/>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1"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32"/>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32"/>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32"/>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32"/>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32"/>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32"/>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32"/>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32"/>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32"/>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32"/>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32"/>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32"/>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32"/>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32"/>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32"/>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32"/>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32"/>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32"/>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32"/>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32"/>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32"/>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32"/>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32"/>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32"/>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32"/>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32"/>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32"/>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32"/>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32"/>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32"/>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32"/>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32"/>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32"/>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32"/>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32"/>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32"/>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32"/>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32"/>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32"/>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32"/>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32"/>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32"/>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32"/>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32"/>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32"/>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32"/>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32"/>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32"/>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32"/>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32"/>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32"/>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32"/>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32"/>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32"/>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32"/>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32"/>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32"/>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32"/>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32"/>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32"/>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32"/>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32"/>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32"/>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32"/>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32"/>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32"/>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32"/>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32"/>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32"/>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32"/>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32"/>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32"/>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32"/>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32"/>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32"/>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32"/>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32"/>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32"/>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32"/>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32"/>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32"/>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32"/>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32"/>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32"/>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32"/>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32"/>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32"/>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32"/>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32"/>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32"/>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32"/>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32"/>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32"/>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32"/>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32"/>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32"/>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32"/>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32"/>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33"/>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
      <c r="F422" s="1134" t="s">
        <v>48</v>
      </c>
      <c r="G422" s="1135"/>
      <c r="H422" s="1136"/>
      <c r="I422" s="1134" t="s">
        <v>47</v>
      </c>
      <c r="J422" s="1135"/>
      <c r="K422" s="1135"/>
      <c r="N422" s="1123"/>
      <c r="O422" s="1123" t="s">
        <v>559</v>
      </c>
      <c r="P422" s="1123"/>
      <c r="Q422" s="1123"/>
      <c r="R422" s="1124" t="s">
        <v>561</v>
      </c>
      <c r="S422" s="1124" t="s">
        <v>562</v>
      </c>
      <c r="T422" s="3" t="s">
        <v>555</v>
      </c>
      <c r="U422" s="3" t="s">
        <v>556</v>
      </c>
    </row>
    <row r="423" spans="2:24" ht="19.8" x14ac:dyDescent="0.3">
      <c r="F423" s="13" t="s">
        <v>26</v>
      </c>
      <c r="G423" s="14" t="s">
        <v>37</v>
      </c>
      <c r="H423" s="15" t="s">
        <v>264</v>
      </c>
      <c r="I423" s="13" t="s">
        <v>26</v>
      </c>
      <c r="J423" s="14" t="s">
        <v>37</v>
      </c>
      <c r="K423" s="15" t="s">
        <v>264</v>
      </c>
      <c r="N423" s="1121"/>
      <c r="O423" s="1121"/>
      <c r="P423" s="1121"/>
      <c r="Q423" s="1121"/>
      <c r="R423" s="1123"/>
      <c r="S423" s="1123"/>
    </row>
  </sheetData>
  <mergeCells count="23">
    <mergeCell ref="B321:B420"/>
    <mergeCell ref="F422:H422"/>
    <mergeCell ref="I422:K422"/>
    <mergeCell ref="B21:B120"/>
    <mergeCell ref="B121:B220"/>
    <mergeCell ref="B221:B320"/>
    <mergeCell ref="L19:L20"/>
    <mergeCell ref="M19:M20"/>
    <mergeCell ref="N19:N20"/>
    <mergeCell ref="F19:H19"/>
    <mergeCell ref="I19:K19"/>
    <mergeCell ref="T18:U19"/>
    <mergeCell ref="O19:O20"/>
    <mergeCell ref="P19:P20"/>
    <mergeCell ref="Q19:Q20"/>
    <mergeCell ref="N422:N423"/>
    <mergeCell ref="O422:O423"/>
    <mergeCell ref="P422:P423"/>
    <mergeCell ref="Q422:Q423"/>
    <mergeCell ref="R19:R20"/>
    <mergeCell ref="S19:S20"/>
    <mergeCell ref="R422:R423"/>
    <mergeCell ref="S422:S4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B26" zoomScale="70" zoomScaleNormal="70" workbookViewId="0">
      <selection activeCell="H51" sqref="H51"/>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16" t="str">
        <f>IF(Triagem!C31="", "Não indicou na TRIAGEM se esta folha de adequa ao projeto", IF(Triagem!C31="Não", "Não necessita de preencher esta folha", "Folha a ser preenchida"))</f>
        <v>Não indicou na TRIAGEM se esta folha de adequa ao projeto</v>
      </c>
      <c r="E7" s="1116"/>
      <c r="F7" s="1116"/>
      <c r="G7" s="1116"/>
      <c r="H7" s="1116"/>
    </row>
    <row r="8" spans="2:14" x14ac:dyDescent="0.3">
      <c r="D8" s="376"/>
      <c r="E8" s="376"/>
      <c r="F8" s="376"/>
      <c r="G8" s="376"/>
      <c r="H8" s="376"/>
    </row>
    <row r="9" spans="2:14" ht="54.6" customHeight="1" outlineLevel="1" x14ac:dyDescent="0.3">
      <c r="B9" s="1152" t="s">
        <v>1352</v>
      </c>
      <c r="C9" s="1152"/>
      <c r="D9" s="1152"/>
      <c r="E9" s="1152"/>
      <c r="F9" s="1152"/>
      <c r="G9" s="1152"/>
      <c r="H9" s="1152"/>
      <c r="I9" s="1152"/>
      <c r="J9" s="1152"/>
      <c r="K9" s="1152"/>
      <c r="L9" s="1152"/>
      <c r="M9" s="1152"/>
      <c r="N9" s="1152"/>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46" t="s">
        <v>741</v>
      </c>
      <c r="C12" s="1146"/>
      <c r="D12" s="1146"/>
      <c r="E12" s="1146"/>
      <c r="F12" s="1146"/>
      <c r="G12" s="1146"/>
      <c r="H12" s="1146"/>
      <c r="I12" s="1146"/>
      <c r="J12" s="1146"/>
      <c r="K12" s="1146"/>
      <c r="L12" s="1146"/>
      <c r="M12" s="1146"/>
      <c r="N12" s="1146"/>
    </row>
    <row r="13" spans="2:14" outlineLevel="1" x14ac:dyDescent="0.3">
      <c r="B13" s="1146"/>
      <c r="C13" s="1146"/>
      <c r="D13" s="1146"/>
      <c r="E13" s="1146"/>
      <c r="F13" s="1146"/>
      <c r="G13" s="1146"/>
      <c r="H13" s="1146"/>
      <c r="I13" s="1146"/>
      <c r="J13" s="1146"/>
      <c r="K13" s="1146"/>
      <c r="L13" s="1146"/>
      <c r="M13" s="1146"/>
      <c r="N13" s="1146"/>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70" t="s">
        <v>713</v>
      </c>
      <c r="C40" s="1147" t="s">
        <v>188</v>
      </c>
      <c r="D40" s="1145" t="s">
        <v>750</v>
      </c>
      <c r="E40" s="1145"/>
      <c r="F40" s="1084" t="s">
        <v>747</v>
      </c>
      <c r="G40" s="1153" t="s">
        <v>748</v>
      </c>
      <c r="H40" s="1154"/>
      <c r="I40" s="1084" t="s">
        <v>753</v>
      </c>
      <c r="J40" s="1159" t="s">
        <v>749</v>
      </c>
      <c r="K40" s="1070" t="s">
        <v>1343</v>
      </c>
    </row>
    <row r="41" spans="1:16" ht="32.700000000000003" customHeight="1" outlineLevel="1" x14ac:dyDescent="0.3">
      <c r="B41" s="1071"/>
      <c r="C41" s="1162"/>
      <c r="D41" s="942" t="s">
        <v>751</v>
      </c>
      <c r="E41" s="942" t="s">
        <v>752</v>
      </c>
      <c r="F41" s="1085"/>
      <c r="G41" s="1155"/>
      <c r="H41" s="1156"/>
      <c r="I41" s="1085"/>
      <c r="J41" s="1160"/>
      <c r="K41" s="1071"/>
    </row>
    <row r="42" spans="1:16" outlineLevel="1" x14ac:dyDescent="0.3">
      <c r="B42" s="1083"/>
      <c r="C42" s="1148"/>
      <c r="D42" s="362" t="s">
        <v>186</v>
      </c>
      <c r="E42" s="362" t="s">
        <v>186</v>
      </c>
      <c r="F42" s="1086"/>
      <c r="G42" s="1157"/>
      <c r="H42" s="1158"/>
      <c r="I42" s="1086"/>
      <c r="J42" s="1161"/>
      <c r="K42" s="1083"/>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49" t="s">
        <v>1105</v>
      </c>
      <c r="C74" s="1149"/>
      <c r="D74" s="1149"/>
      <c r="E74" s="1149"/>
      <c r="F74" s="1149"/>
      <c r="G74" s="1149"/>
      <c r="H74" s="1149"/>
      <c r="I74" s="1149"/>
      <c r="J74" s="1149"/>
    </row>
    <row r="75" spans="2:11" ht="21.6" customHeight="1" outlineLevel="1" x14ac:dyDescent="0.3">
      <c r="B75" s="1149" t="s">
        <v>1350</v>
      </c>
      <c r="C75" s="1149"/>
      <c r="D75" s="1149"/>
      <c r="E75" s="1149"/>
      <c r="F75" s="1149"/>
      <c r="G75" s="1149"/>
      <c r="H75" s="1149"/>
      <c r="I75" s="1149"/>
      <c r="J75" s="1149"/>
    </row>
    <row r="76" spans="2:11" ht="36" customHeight="1" outlineLevel="1" x14ac:dyDescent="0.3">
      <c r="B76" s="1149" t="s">
        <v>1345</v>
      </c>
      <c r="C76" s="1149"/>
      <c r="D76" s="1149"/>
      <c r="E76" s="1149"/>
      <c r="F76" s="1149"/>
      <c r="G76" s="1149"/>
      <c r="H76" s="1149"/>
      <c r="I76" s="1149"/>
      <c r="J76" s="1149"/>
    </row>
    <row r="77" spans="2:11" outlineLevel="1" x14ac:dyDescent="0.3">
      <c r="C77" s="431"/>
      <c r="H77" s="171"/>
    </row>
    <row r="78" spans="2:11" ht="18" outlineLevel="1" x14ac:dyDescent="0.4">
      <c r="B78" s="169" t="s">
        <v>1349</v>
      </c>
      <c r="H78" s="171"/>
    </row>
    <row r="79" spans="2:11" s="314" customFormat="1" ht="51.6" customHeight="1" outlineLevel="1" x14ac:dyDescent="0.3">
      <c r="B79" s="1070" t="s">
        <v>612</v>
      </c>
      <c r="C79" s="1147" t="s">
        <v>785</v>
      </c>
      <c r="D79" s="1144" t="s">
        <v>815</v>
      </c>
      <c r="E79" s="1144"/>
      <c r="F79" s="1144"/>
      <c r="G79" s="300" t="s">
        <v>929</v>
      </c>
      <c r="H79" s="1145" t="s">
        <v>849</v>
      </c>
      <c r="I79" s="1145"/>
      <c r="J79" s="1151" t="s">
        <v>1346</v>
      </c>
      <c r="K79" s="1150"/>
    </row>
    <row r="80" spans="2:11" s="314" customFormat="1" ht="35.4" customHeight="1" outlineLevel="1" x14ac:dyDescent="0.3">
      <c r="B80" s="1083"/>
      <c r="C80" s="1148"/>
      <c r="D80" s="237" t="s">
        <v>786</v>
      </c>
      <c r="E80" s="238" t="s">
        <v>787</v>
      </c>
      <c r="F80" s="237" t="s">
        <v>33</v>
      </c>
      <c r="G80" s="362" t="s">
        <v>522</v>
      </c>
      <c r="H80" s="238" t="s">
        <v>1610</v>
      </c>
      <c r="I80" s="237" t="s">
        <v>33</v>
      </c>
      <c r="J80" s="1151"/>
      <c r="K80" s="1150"/>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outlineLevel="1" x14ac:dyDescent="0.3">
      <c r="B82" s="558"/>
      <c r="C82" s="558"/>
      <c r="D82" s="560"/>
      <c r="E82" s="559"/>
      <c r="F82" s="549" t="str">
        <f>IF(C82=FAEF!$B$65,"kgCO2e/kg subst.",IF(C82=FAEF!$B$74,"kgCO2e/kg "&amp;D82,""))</f>
        <v/>
      </c>
      <c r="G82" s="562"/>
      <c r="H82" s="993"/>
      <c r="I82" s="619" t="str">
        <f>IFERROR(IF(VLOOKUP(C82,FAEF!B59:E74,4,FALSE)="","",VLOOKUP(C82,FAEF!B59:E74,4,FALSE)),"")</f>
        <v/>
      </c>
      <c r="J82" s="995" t="str">
        <f>IFERROR(IF(AND(G82="",H82=""),"",FAEF!X111/1000),"")</f>
        <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f>IFERROR(IF(VLOOKUP(C119,FAEF!B96:E111,4,FALSE)="","",VLOOKUP(C119,FAEF!B96:E111,4,FALSE)),"")</f>
        <v>0</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0</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43" t="s">
        <v>612</v>
      </c>
      <c r="F187" s="1081"/>
      <c r="G187" s="1082"/>
    </row>
    <row r="188" spans="2:11" x14ac:dyDescent="0.3">
      <c r="D188" s="169"/>
      <c r="E188" s="282" t="str">
        <f>'Combustão Móvel'!E559</f>
        <v>Construção ou fase preparatória</v>
      </c>
      <c r="F188" s="283" t="s">
        <v>37</v>
      </c>
      <c r="G188" s="208" t="s">
        <v>264</v>
      </c>
    </row>
    <row r="189" spans="2:11" ht="18" x14ac:dyDescent="0.3">
      <c r="B189" s="1143" t="s">
        <v>1280</v>
      </c>
      <c r="C189" s="1081"/>
      <c r="D189" s="1082"/>
      <c r="E189" s="824">
        <f>SUMIF($B$44:$B$64,E$188,$K$44:$K$64)/1000+SUMIF($B$82:$B$181,E$188,$J$82:$J$181)</f>
        <v>0</v>
      </c>
      <c r="F189" s="824">
        <f>SUMIF($B$44:$B$64,F$188,$K$44:$K$64)/1000+SUMIF($B$82:$B$181,F$188,$J$82:$J$181)</f>
        <v>0</v>
      </c>
      <c r="G189" s="824">
        <f>SUMIF($B$44:$B$64,G$188,$K$44:$K$64)/1000+SUMIF($B$82:$B$181,G$188,$J$82:$J$181)</f>
        <v>0</v>
      </c>
      <c r="H189" s="285" t="s">
        <v>41</v>
      </c>
    </row>
    <row r="190" spans="2:11" ht="18" x14ac:dyDescent="0.3">
      <c r="B190" s="1143" t="s">
        <v>1347</v>
      </c>
      <c r="C190" s="1081"/>
      <c r="D190" s="1082"/>
      <c r="E190" s="824">
        <f>IF('Dados gerais'!$F$33="", 2*E189, 'Dados gerais'!$F$33*E189)</f>
        <v>0</v>
      </c>
      <c r="F190" s="824">
        <f>IF('Dados gerais'!$F$34="", 10*F189, 'Dados gerais'!$F$34*F189)</f>
        <v>0</v>
      </c>
      <c r="G190" s="824">
        <f>IF('Dados gerais'!$F$35="", 1*G189, 'Dados gerais'!$F$35*G189)</f>
        <v>0</v>
      </c>
      <c r="H190" s="825">
        <f>SUM(E190:G190)</f>
        <v>0</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D7:H7"/>
    <mergeCell ref="B9:N9"/>
    <mergeCell ref="D40:E40"/>
    <mergeCell ref="G40:H42"/>
    <mergeCell ref="I40:I42"/>
    <mergeCell ref="J40:J42"/>
    <mergeCell ref="C40:C42"/>
    <mergeCell ref="B40:B42"/>
    <mergeCell ref="K40:K42"/>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67" t="s">
        <v>771</v>
      </c>
      <c r="I15" s="89" t="s">
        <v>776</v>
      </c>
      <c r="J15" s="89" t="s">
        <v>777</v>
      </c>
    </row>
    <row r="16" spans="1:16" ht="15" customHeight="1" thickTop="1" x14ac:dyDescent="0.3">
      <c r="C16" s="44" t="s">
        <v>258</v>
      </c>
      <c r="D16" s="1174" t="s">
        <v>775</v>
      </c>
      <c r="E16" s="444" t="s">
        <v>260</v>
      </c>
      <c r="F16" s="445" t="s">
        <v>262</v>
      </c>
      <c r="G16" s="92"/>
      <c r="H16" s="1168"/>
      <c r="I16" s="89"/>
      <c r="J16" s="89"/>
    </row>
    <row r="17" spans="3:19" ht="32.4" customHeight="1" thickBot="1" x14ac:dyDescent="0.35">
      <c r="C17" s="45"/>
      <c r="D17" s="1175"/>
      <c r="E17" s="446" t="s">
        <v>261</v>
      </c>
      <c r="F17" s="447" t="s">
        <v>263</v>
      </c>
      <c r="G17" s="93" t="s">
        <v>779</v>
      </c>
      <c r="H17" s="1169"/>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25" t="s">
        <v>36</v>
      </c>
      <c r="D28" s="1164" t="s">
        <v>188</v>
      </c>
      <c r="E28" s="1164" t="s">
        <v>758</v>
      </c>
      <c r="F28" s="1164" t="s">
        <v>759</v>
      </c>
      <c r="G28" s="1170"/>
      <c r="H28" s="1171"/>
      <c r="I28" s="1125"/>
      <c r="J28" s="1125" t="s">
        <v>762</v>
      </c>
      <c r="K28" s="1125" t="s">
        <v>765</v>
      </c>
      <c r="L28" s="1180" t="str">
        <f>D16</f>
        <v>Perdas em Carga das unidades novas</v>
      </c>
      <c r="M28" s="1180" t="s">
        <v>763</v>
      </c>
      <c r="N28" s="1179" t="s">
        <v>764</v>
      </c>
      <c r="O28" s="1180" t="s">
        <v>767</v>
      </c>
      <c r="P28" s="1179" t="s">
        <v>766</v>
      </c>
      <c r="Q28" s="1180" t="s">
        <v>768</v>
      </c>
      <c r="R28" s="1179" t="s">
        <v>769</v>
      </c>
      <c r="S28" s="1179" t="s">
        <v>770</v>
      </c>
    </row>
    <row r="29" spans="3:19" ht="16.95" customHeight="1" x14ac:dyDescent="0.3">
      <c r="C29" s="1126"/>
      <c r="D29" s="1165"/>
      <c r="E29" s="1165"/>
      <c r="F29" s="1165"/>
      <c r="G29" s="1172"/>
      <c r="H29" s="1173"/>
      <c r="I29" s="1126"/>
      <c r="J29" s="1126"/>
      <c r="K29" s="1126"/>
      <c r="L29" s="1181"/>
      <c r="M29" s="1181"/>
      <c r="N29" s="1179"/>
      <c r="O29" s="1181"/>
      <c r="P29" s="1179"/>
      <c r="Q29" s="1181"/>
      <c r="R29" s="1179"/>
      <c r="S29" s="1179"/>
    </row>
    <row r="30" spans="3:19" ht="17.399999999999999" x14ac:dyDescent="0.3">
      <c r="C30" s="1163"/>
      <c r="D30" s="1166"/>
      <c r="E30" s="1166"/>
      <c r="F30" s="1166"/>
      <c r="G30" s="28" t="s">
        <v>760</v>
      </c>
      <c r="H30" s="28" t="s">
        <v>43</v>
      </c>
      <c r="I30" s="28" t="s">
        <v>761</v>
      </c>
      <c r="J30" s="1163"/>
      <c r="K30" s="1163"/>
      <c r="L30" s="1182"/>
      <c r="M30" s="1182"/>
      <c r="N30" s="1179"/>
      <c r="O30" s="1182"/>
      <c r="P30" s="1179"/>
      <c r="Q30" s="1182"/>
      <c r="R30" s="1179"/>
      <c r="S30" s="1179"/>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76" t="s">
        <v>862</v>
      </c>
      <c r="P109" s="1177"/>
      <c r="Q109" s="1178" t="str">
        <f>B69</f>
        <v>Produção de TFT-FPDs</v>
      </c>
      <c r="R109" s="1178"/>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IFERROR(L111*H111+(K111+M111)*H111/J111,"")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t="e">
        <f>IF(VLOOKUP(C111,$B$59:$D$74,3,FALSE)="",E111,VLOOKUP(C111,$B$59:$D$74,3,FALSE))</f>
        <v>#N/A</v>
      </c>
      <c r="X111" s="22">
        <f>IF(V111="",SUM(N111:U111),V111*W111)</f>
        <v>0</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f>'Emissões Fugitivas'!I119</f>
        <v>0</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L28:L30"/>
    <mergeCell ref="M28:M30"/>
    <mergeCell ref="O28:O30"/>
    <mergeCell ref="Q28:Q30"/>
    <mergeCell ref="J28:J30"/>
    <mergeCell ref="K28:K30"/>
    <mergeCell ref="N28:N30"/>
    <mergeCell ref="O109:P109"/>
    <mergeCell ref="Q109:R109"/>
    <mergeCell ref="P28:P30"/>
    <mergeCell ref="R28:R30"/>
    <mergeCell ref="S28:S30"/>
    <mergeCell ref="C28:C30"/>
    <mergeCell ref="D28:D30"/>
    <mergeCell ref="E28:E30"/>
    <mergeCell ref="I28:I29"/>
    <mergeCell ref="H15:H17"/>
    <mergeCell ref="G28:H29"/>
    <mergeCell ref="F28:F30"/>
    <mergeCell ref="D16:D17"/>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20"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87" t="str">
        <f>IF(Triagem!C32="", "Não indicou na TRIAGEM se esta folha se adequa ao projeto", IF(Triagem!C32="Não", "Não necessita de preencher esta folha", "Folha a ser preenchida"))</f>
        <v>Não indicou na TRIAGEM se esta folha se adequa ao projeto</v>
      </c>
      <c r="E8" s="1087"/>
      <c r="F8" s="1087"/>
      <c r="G8" s="1087"/>
      <c r="H8" s="1087"/>
    </row>
    <row r="9" spans="2:17" x14ac:dyDescent="0.3"/>
    <row r="10" spans="2:17" x14ac:dyDescent="0.3"/>
    <row r="11" spans="2:17" ht="18" x14ac:dyDescent="0.35">
      <c r="B11" s="373" t="s">
        <v>622</v>
      </c>
    </row>
    <row r="12" spans="2:17" ht="44.4" customHeight="1" x14ac:dyDescent="0.3">
      <c r="B12" s="1183" t="s">
        <v>1172</v>
      </c>
      <c r="C12" s="1183"/>
      <c r="D12" s="1183"/>
      <c r="E12" s="1183"/>
      <c r="F12" s="1183"/>
      <c r="G12" s="1183"/>
      <c r="H12" s="1183"/>
      <c r="I12" s="1183"/>
      <c r="J12" s="1183"/>
    </row>
    <row r="13" spans="2:17" ht="13.95" customHeight="1" x14ac:dyDescent="0.3">
      <c r="B13" s="1183" t="s">
        <v>1395</v>
      </c>
      <c r="C13" s="1183"/>
      <c r="D13" s="1183"/>
      <c r="E13" s="1183"/>
      <c r="F13" s="1183"/>
      <c r="G13" s="1183"/>
      <c r="H13" s="1183"/>
      <c r="I13" s="1183"/>
      <c r="J13" s="1183"/>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49" t="s">
        <v>1385</v>
      </c>
      <c r="C23" s="1149"/>
      <c r="D23" s="1149"/>
      <c r="E23" s="1149"/>
      <c r="F23" s="1149"/>
      <c r="G23" s="1149"/>
      <c r="H23" s="1149"/>
      <c r="I23" s="1149"/>
      <c r="J23" s="1149"/>
      <c r="K23" s="1149"/>
      <c r="L23" s="1149"/>
      <c r="M23" s="1149"/>
      <c r="N23" s="1149"/>
      <c r="O23" s="1149"/>
      <c r="P23" s="1149"/>
      <c r="Q23" s="1149"/>
      <c r="R23" s="232"/>
      <c r="S23" s="232"/>
      <c r="T23" s="232"/>
      <c r="U23" s="232"/>
      <c r="V23" s="232"/>
      <c r="W23" s="232"/>
      <c r="X23" s="232"/>
      <c r="Y23" s="232"/>
      <c r="Z23" s="232"/>
      <c r="AA23" s="233"/>
    </row>
    <row r="24" spans="2:27" ht="21" customHeight="1" x14ac:dyDescent="0.3">
      <c r="B24" s="1149" t="s">
        <v>1386</v>
      </c>
      <c r="C24" s="1149"/>
      <c r="D24" s="1149"/>
      <c r="E24" s="1149"/>
      <c r="F24" s="1149"/>
      <c r="G24" s="1149"/>
      <c r="H24" s="1149"/>
      <c r="I24" s="1149"/>
      <c r="J24" s="1149"/>
      <c r="K24" s="1149"/>
      <c r="L24" s="1149"/>
      <c r="M24" s="1149"/>
      <c r="N24" s="1149"/>
      <c r="O24" s="1149"/>
      <c r="P24" s="1149"/>
      <c r="Q24" s="230"/>
      <c r="R24" s="232"/>
      <c r="S24" s="232"/>
      <c r="T24" s="232"/>
      <c r="U24" s="232"/>
      <c r="V24" s="232"/>
      <c r="W24" s="232"/>
      <c r="X24" s="232"/>
      <c r="Y24" s="232"/>
      <c r="Z24" s="232"/>
      <c r="AA24" s="233"/>
    </row>
    <row r="25" spans="2:27" ht="20.399999999999999" customHeight="1" x14ac:dyDescent="0.3">
      <c r="B25" s="1149" t="s">
        <v>1387</v>
      </c>
      <c r="C25" s="1149"/>
      <c r="D25" s="1149"/>
      <c r="E25" s="1149"/>
      <c r="F25" s="1149"/>
      <c r="G25" s="1149"/>
      <c r="H25" s="1149"/>
      <c r="I25" s="1149"/>
      <c r="J25" s="1149"/>
      <c r="K25" s="1149"/>
      <c r="L25" s="1149"/>
      <c r="M25" s="1149"/>
      <c r="N25" s="1149"/>
      <c r="O25" s="1149"/>
      <c r="P25" s="1149"/>
      <c r="Q25" s="230"/>
      <c r="R25" s="232"/>
      <c r="S25" s="232"/>
      <c r="T25" s="232"/>
      <c r="U25" s="232"/>
      <c r="V25" s="232"/>
      <c r="W25" s="232"/>
      <c r="X25" s="232"/>
      <c r="Y25" s="232"/>
      <c r="Z25" s="232"/>
      <c r="AA25" s="233"/>
    </row>
    <row r="26" spans="2:27" ht="20.399999999999999" customHeight="1" x14ac:dyDescent="0.3">
      <c r="B26" s="1149" t="s">
        <v>1388</v>
      </c>
      <c r="C26" s="1149"/>
      <c r="D26" s="1149"/>
      <c r="E26" s="1149"/>
      <c r="F26" s="1149"/>
      <c r="G26" s="1149"/>
      <c r="H26" s="1149"/>
      <c r="I26" s="1149"/>
      <c r="J26" s="1149"/>
      <c r="K26" s="1149"/>
      <c r="L26" s="1149"/>
      <c r="M26" s="1149"/>
      <c r="N26" s="1149"/>
      <c r="O26" s="1149"/>
      <c r="P26" s="1149"/>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70" t="s">
        <v>896</v>
      </c>
      <c r="C31" s="1070" t="s">
        <v>897</v>
      </c>
      <c r="D31" s="1070" t="s">
        <v>898</v>
      </c>
      <c r="E31" s="1070" t="s">
        <v>912</v>
      </c>
      <c r="F31" s="1144" t="s">
        <v>902</v>
      </c>
      <c r="G31" s="1144"/>
      <c r="H31" s="1144"/>
      <c r="I31" s="1145" t="s">
        <v>1390</v>
      </c>
      <c r="J31" s="1145"/>
      <c r="K31" s="1145"/>
      <c r="L31" s="238" t="s">
        <v>1276</v>
      </c>
      <c r="M31" s="1184" t="s">
        <v>1277</v>
      </c>
      <c r="N31" s="1185"/>
      <c r="O31" s="1186"/>
      <c r="P31" s="1084" t="s">
        <v>937</v>
      </c>
      <c r="Q31" s="1070" t="s">
        <v>1279</v>
      </c>
    </row>
    <row r="32" spans="2:27" ht="62.4" x14ac:dyDescent="0.3">
      <c r="B32" s="1083"/>
      <c r="C32" s="1083"/>
      <c r="D32" s="1083"/>
      <c r="E32" s="1083"/>
      <c r="F32" s="237" t="s">
        <v>784</v>
      </c>
      <c r="G32" s="237" t="s">
        <v>30</v>
      </c>
      <c r="H32" s="237" t="s">
        <v>30</v>
      </c>
      <c r="I32" s="237" t="s">
        <v>751</v>
      </c>
      <c r="J32" s="238" t="s">
        <v>914</v>
      </c>
      <c r="K32" s="238" t="s">
        <v>936</v>
      </c>
      <c r="L32" s="238" t="s">
        <v>1391</v>
      </c>
      <c r="M32" s="237" t="s">
        <v>1392</v>
      </c>
      <c r="N32" s="237" t="s">
        <v>1393</v>
      </c>
      <c r="O32" s="237" t="s">
        <v>1394</v>
      </c>
      <c r="P32" s="1086"/>
      <c r="Q32" s="1083"/>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43" t="s">
        <v>612</v>
      </c>
      <c r="G140" s="1081"/>
      <c r="H140" s="1082"/>
    </row>
    <row r="141" spans="2:18" s="357" customFormat="1" ht="47.4" customHeight="1" x14ac:dyDescent="0.3">
      <c r="F141" s="370" t="str">
        <f>'Emissões Fugitivas'!E188</f>
        <v>Construção ou fase preparatória</v>
      </c>
      <c r="G141" s="371" t="s">
        <v>37</v>
      </c>
      <c r="H141" s="372" t="s">
        <v>264</v>
      </c>
    </row>
    <row r="142" spans="2:18" ht="18" x14ac:dyDescent="0.3">
      <c r="C142" s="1143" t="s">
        <v>1280</v>
      </c>
      <c r="D142" s="1081"/>
      <c r="E142" s="1082"/>
      <c r="F142" s="825">
        <f>SUMIF(FAEI!$D$26:$D$125,FAEI!$A$10,FAEI!$Q$26:$Q$125)</f>
        <v>0</v>
      </c>
      <c r="G142" s="825">
        <f>SUMIF(FAEI!$D$26:$D$125,FAEI!$A$11,FAEI!$Q$26:$Q$125)</f>
        <v>0</v>
      </c>
      <c r="H142" s="825">
        <f>SUMIF(FAEI!$D$26:$D$125,FAEI!$A$12,FAEI!$Q$26:$Q$125)</f>
        <v>0</v>
      </c>
      <c r="I142" s="285" t="s">
        <v>41</v>
      </c>
    </row>
    <row r="143" spans="2:18" ht="18" x14ac:dyDescent="0.3">
      <c r="C143" s="1143" t="s">
        <v>1281</v>
      </c>
      <c r="D143" s="1081"/>
      <c r="E143" s="1082"/>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C142:E142"/>
    <mergeCell ref="C143:E143"/>
    <mergeCell ref="B25:P25"/>
    <mergeCell ref="B31:B32"/>
    <mergeCell ref="C31:C32"/>
    <mergeCell ref="D31:D32"/>
    <mergeCell ref="E31:E32"/>
    <mergeCell ref="F31:H31"/>
    <mergeCell ref="M31:O31"/>
    <mergeCell ref="P31:P32"/>
    <mergeCell ref="B12:J12"/>
    <mergeCell ref="B13:J13"/>
    <mergeCell ref="D8:H8"/>
    <mergeCell ref="F140:H140"/>
    <mergeCell ref="I31:K31"/>
    <mergeCell ref="B24:P24"/>
    <mergeCell ref="B26:P26"/>
    <mergeCell ref="B23:Q23"/>
    <mergeCell ref="Q31:Q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87" t="s">
        <v>36</v>
      </c>
      <c r="F11" s="1188"/>
      <c r="G11" s="1189"/>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25" t="s">
        <v>896</v>
      </c>
      <c r="E24" s="1125" t="s">
        <v>897</v>
      </c>
      <c r="F24" s="1125" t="s">
        <v>898</v>
      </c>
      <c r="G24" s="1125" t="s">
        <v>912</v>
      </c>
      <c r="H24" s="1190" t="s">
        <v>902</v>
      </c>
      <c r="I24" s="1190"/>
      <c r="J24" s="1190"/>
      <c r="K24" s="1191" t="s">
        <v>913</v>
      </c>
      <c r="L24" s="1192"/>
      <c r="M24" s="1190" t="s">
        <v>916</v>
      </c>
      <c r="N24" s="1190"/>
      <c r="O24" s="1190"/>
      <c r="P24" s="1190"/>
      <c r="Q24" s="1125" t="s">
        <v>50</v>
      </c>
    </row>
    <row r="25" spans="4:17" ht="57.6" x14ac:dyDescent="0.3">
      <c r="D25" s="1163"/>
      <c r="E25" s="1163"/>
      <c r="F25" s="1163"/>
      <c r="G25" s="1163"/>
      <c r="H25" s="119" t="s">
        <v>784</v>
      </c>
      <c r="I25" s="119" t="s">
        <v>30</v>
      </c>
      <c r="J25" s="119" t="s">
        <v>30</v>
      </c>
      <c r="K25" s="119" t="s">
        <v>751</v>
      </c>
      <c r="L25" s="120" t="s">
        <v>914</v>
      </c>
      <c r="M25" s="119" t="s">
        <v>917</v>
      </c>
      <c r="N25" s="119" t="s">
        <v>918</v>
      </c>
      <c r="O25" s="119" t="s">
        <v>919</v>
      </c>
      <c r="P25" s="119" t="s">
        <v>920</v>
      </c>
      <c r="Q25" s="1163"/>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abSelected="1" topLeftCell="A257" zoomScale="90" zoomScaleNormal="90" workbookViewId="0">
      <selection activeCell="K265" sqref="K265"/>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87" t="str">
        <f>IF(Triagem!C33="", "Não indicou na TRIAGEM se esta folha se adequa ao projeto", IF(Triagem!C33="Não", "Não necessita de preencher esta folha", "Folha a ser preenchida"))</f>
        <v>Folha a ser preenchida</v>
      </c>
      <c r="E8" s="1087"/>
      <c r="F8" s="1087"/>
      <c r="G8" s="1087"/>
      <c r="H8" s="1087"/>
    </row>
    <row r="9" spans="2:11" ht="15.6" x14ac:dyDescent="0.3"/>
    <row r="10" spans="2:11" ht="15.6" outlineLevel="1" x14ac:dyDescent="0.3"/>
    <row r="11" spans="2:11" ht="42" customHeight="1" outlineLevel="1" x14ac:dyDescent="0.3">
      <c r="B11" s="1183" t="s">
        <v>1119</v>
      </c>
      <c r="C11" s="1183"/>
      <c r="D11" s="1183"/>
      <c r="E11" s="1183"/>
      <c r="F11" s="1183"/>
      <c r="G11" s="1183"/>
      <c r="H11" s="1183"/>
      <c r="I11" s="1183"/>
      <c r="J11" s="1183"/>
      <c r="K11" s="343"/>
    </row>
    <row r="12" spans="2:11" ht="20.399999999999999" customHeight="1" outlineLevel="1" x14ac:dyDescent="0.3">
      <c r="B12" s="1183" t="s">
        <v>1133</v>
      </c>
      <c r="C12" s="1183"/>
      <c r="D12" s="1183"/>
      <c r="E12" s="1183"/>
      <c r="F12" s="1183"/>
      <c r="G12" s="1183"/>
      <c r="H12" s="1183"/>
      <c r="I12" s="1183"/>
      <c r="J12" s="1183"/>
      <c r="K12" s="1183"/>
    </row>
    <row r="13" spans="2:11" ht="15.6" outlineLevel="1" x14ac:dyDescent="0.3">
      <c r="B13" s="1210" t="s">
        <v>1134</v>
      </c>
      <c r="C13" s="1210"/>
      <c r="D13" s="1210"/>
      <c r="E13" s="1210"/>
      <c r="F13" s="1210"/>
      <c r="G13" s="1210"/>
      <c r="H13" s="1210"/>
      <c r="I13" s="1210"/>
      <c r="J13" s="1210"/>
      <c r="K13" s="1210"/>
    </row>
    <row r="14" spans="2:11" ht="30.75" customHeight="1" outlineLevel="1" x14ac:dyDescent="0.3">
      <c r="B14" s="1212" t="s">
        <v>1571</v>
      </c>
      <c r="C14" s="1212"/>
      <c r="D14" s="1212"/>
      <c r="E14" s="1212"/>
      <c r="F14" s="1212"/>
      <c r="G14" s="1212"/>
      <c r="H14" s="1212"/>
      <c r="I14" s="1212"/>
      <c r="J14" s="1212"/>
      <c r="K14" s="343"/>
    </row>
    <row r="15" spans="2:11" ht="21.6" customHeight="1" outlineLevel="1" x14ac:dyDescent="0.3">
      <c r="B15" s="1210" t="s">
        <v>1572</v>
      </c>
      <c r="C15" s="1210"/>
      <c r="D15" s="1210"/>
      <c r="E15" s="1210"/>
      <c r="F15" s="1210"/>
      <c r="G15" s="1210"/>
      <c r="H15" s="1210"/>
      <c r="I15" s="1210"/>
      <c r="J15" s="1210"/>
      <c r="K15" s="1210"/>
    </row>
    <row r="16" spans="2:11" ht="42" customHeight="1" outlineLevel="1" x14ac:dyDescent="0.3">
      <c r="B16" s="1212" t="s">
        <v>1573</v>
      </c>
      <c r="C16" s="1212"/>
      <c r="D16" s="1212"/>
      <c r="E16" s="1212"/>
      <c r="F16" s="1212"/>
      <c r="G16" s="1212"/>
      <c r="H16" s="1212"/>
      <c r="I16" s="1212"/>
      <c r="J16" s="1212"/>
      <c r="K16" s="343"/>
    </row>
    <row r="17" spans="2:27" ht="15.6" outlineLevel="1" x14ac:dyDescent="0.3">
      <c r="B17" s="1210" t="s">
        <v>1129</v>
      </c>
      <c r="C17" s="1210"/>
      <c r="D17" s="1210"/>
      <c r="E17" s="1210"/>
      <c r="F17" s="1210"/>
      <c r="G17" s="1210"/>
      <c r="H17" s="1210"/>
      <c r="I17" s="1210"/>
      <c r="J17" s="1210"/>
      <c r="K17" s="1210"/>
    </row>
    <row r="18" spans="2:27" ht="15.6" outlineLevel="1" x14ac:dyDescent="0.3">
      <c r="B18" s="1211" t="s">
        <v>1185</v>
      </c>
      <c r="C18" s="1211"/>
      <c r="D18" s="1211"/>
      <c r="E18" s="1211"/>
      <c r="F18" s="1211"/>
      <c r="G18" s="1211"/>
      <c r="H18" s="1211"/>
      <c r="I18" s="1211"/>
      <c r="J18" s="1211"/>
      <c r="K18" s="1211"/>
    </row>
    <row r="19" spans="2:27" ht="22.2" customHeight="1" outlineLevel="1" x14ac:dyDescent="0.3">
      <c r="B19" s="1211" t="s">
        <v>1186</v>
      </c>
      <c r="C19" s="1211"/>
      <c r="D19" s="1211"/>
      <c r="E19" s="1211"/>
      <c r="F19" s="1211"/>
      <c r="G19" s="1211"/>
      <c r="H19" s="1211"/>
      <c r="I19" s="1211"/>
      <c r="J19" s="1211"/>
      <c r="K19" s="1211"/>
    </row>
    <row r="20" spans="2:27" ht="15.6" outlineLevel="1" x14ac:dyDescent="0.3">
      <c r="B20" s="1211" t="s">
        <v>1396</v>
      </c>
      <c r="C20" s="1211"/>
      <c r="D20" s="1211"/>
      <c r="E20" s="1211"/>
      <c r="F20" s="1211"/>
      <c r="G20" s="1211"/>
      <c r="H20" s="1211"/>
      <c r="I20" s="1211"/>
      <c r="J20" s="1211"/>
      <c r="K20" s="1211"/>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48" t="s">
        <v>1137</v>
      </c>
      <c r="C31" s="1048"/>
      <c r="D31" s="1048"/>
      <c r="E31" s="1048"/>
      <c r="F31" s="1048"/>
      <c r="G31" s="1048"/>
      <c r="H31" s="1048"/>
      <c r="I31" s="1048"/>
      <c r="J31" s="1048"/>
      <c r="K31" s="1048"/>
      <c r="L31" s="229"/>
      <c r="M31" s="229"/>
      <c r="N31" s="229"/>
      <c r="O31" s="229"/>
      <c r="P31" s="229"/>
      <c r="Q31" s="230"/>
      <c r="R31" s="230"/>
      <c r="S31" s="230"/>
      <c r="T31" s="234"/>
      <c r="U31" s="234"/>
      <c r="V31" s="234"/>
      <c r="W31" s="234"/>
      <c r="X31" s="234"/>
      <c r="Y31" s="234"/>
      <c r="Z31" s="234"/>
      <c r="AA31" s="234"/>
    </row>
    <row r="32" spans="2:27" ht="19.95" customHeight="1" outlineLevel="1" x14ac:dyDescent="0.3">
      <c r="B32" s="1149" t="s">
        <v>970</v>
      </c>
      <c r="C32" s="1149"/>
      <c r="D32" s="1149"/>
      <c r="E32" s="1149"/>
      <c r="F32" s="1149"/>
      <c r="G32" s="1149"/>
      <c r="H32" s="1149"/>
      <c r="I32" s="1149"/>
      <c r="J32" s="1149"/>
      <c r="K32" s="1149"/>
      <c r="L32" s="1149"/>
      <c r="M32" s="1149"/>
      <c r="N32" s="1149"/>
      <c r="O32" s="1149"/>
      <c r="P32" s="1149"/>
      <c r="Q32" s="230"/>
      <c r="R32" s="230"/>
      <c r="S32" s="230"/>
      <c r="T32" s="234"/>
      <c r="U32" s="234"/>
      <c r="V32" s="234"/>
      <c r="W32" s="234"/>
      <c r="X32" s="234"/>
      <c r="Y32" s="234"/>
      <c r="Z32" s="234"/>
      <c r="AA32" s="234"/>
    </row>
    <row r="33" spans="1:27" ht="19.95" customHeight="1" outlineLevel="1" x14ac:dyDescent="0.3">
      <c r="B33" s="1213" t="s">
        <v>1166</v>
      </c>
      <c r="C33" s="1213"/>
      <c r="D33" s="1213"/>
      <c r="E33" s="1213"/>
      <c r="F33" s="1213"/>
      <c r="G33" s="1213"/>
      <c r="H33" s="1213"/>
      <c r="I33" s="1213"/>
      <c r="J33" s="1213"/>
      <c r="K33" s="1213"/>
      <c r="L33" s="1213"/>
      <c r="M33" s="1213"/>
      <c r="N33" s="1213"/>
      <c r="O33" s="1213"/>
      <c r="P33" s="1213"/>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70" t="s">
        <v>896</v>
      </c>
      <c r="C38" s="1070" t="s">
        <v>897</v>
      </c>
      <c r="D38" s="1070" t="s">
        <v>947</v>
      </c>
      <c r="E38" s="1070" t="s">
        <v>1173</v>
      </c>
      <c r="F38" s="1193" t="s">
        <v>948</v>
      </c>
      <c r="G38" s="1194"/>
      <c r="H38" s="1194"/>
      <c r="I38" s="1194"/>
      <c r="J38" s="1194"/>
      <c r="K38" s="1194"/>
      <c r="L38" s="1194"/>
      <c r="M38" s="1194"/>
      <c r="N38" s="1194"/>
      <c r="O38" s="1194"/>
      <c r="P38" s="1194"/>
      <c r="Q38" s="1194"/>
      <c r="R38" s="1195"/>
      <c r="S38" s="1070" t="s">
        <v>1138</v>
      </c>
    </row>
    <row r="39" spans="1:27" ht="30" customHeight="1" outlineLevel="1" x14ac:dyDescent="0.3">
      <c r="B39" s="1071"/>
      <c r="C39" s="1071"/>
      <c r="D39" s="1071"/>
      <c r="E39" s="1071"/>
      <c r="F39" s="1199" t="s">
        <v>1174</v>
      </c>
      <c r="G39" s="1200"/>
      <c r="H39" s="1200"/>
      <c r="I39" s="1200"/>
      <c r="J39" s="1200"/>
      <c r="K39" s="1200"/>
      <c r="L39" s="1201"/>
      <c r="M39" s="1207" t="s">
        <v>1175</v>
      </c>
      <c r="N39" s="1208"/>
      <c r="O39" s="1196" t="s">
        <v>1176</v>
      </c>
      <c r="P39" s="1197"/>
      <c r="Q39" s="1197"/>
      <c r="R39" s="1197"/>
      <c r="S39" s="1071"/>
    </row>
    <row r="40" spans="1:27" ht="62.4" outlineLevel="1" x14ac:dyDescent="0.3">
      <c r="B40" s="1083"/>
      <c r="C40" s="1083"/>
      <c r="D40" s="1083"/>
      <c r="E40" s="1083"/>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83"/>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48" t="s">
        <v>1192</v>
      </c>
      <c r="C154" s="1048"/>
      <c r="D154" s="1048"/>
      <c r="E154" s="1048"/>
      <c r="F154" s="1048"/>
      <c r="G154" s="1048"/>
      <c r="H154" s="1048"/>
      <c r="I154" s="1048"/>
      <c r="J154" s="1048"/>
      <c r="K154" s="1048"/>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49" t="s">
        <v>1193</v>
      </c>
      <c r="C155" s="1149"/>
      <c r="D155" s="1149"/>
      <c r="E155" s="1149"/>
      <c r="F155" s="1149"/>
      <c r="G155" s="1149"/>
      <c r="H155" s="1149"/>
      <c r="I155" s="1149"/>
      <c r="J155" s="1149"/>
      <c r="K155" s="1149"/>
      <c r="L155" s="1149"/>
      <c r="M155" s="1149"/>
      <c r="N155" s="230"/>
      <c r="O155" s="230"/>
      <c r="P155" s="230"/>
      <c r="Q155" s="230"/>
      <c r="R155" s="230"/>
      <c r="S155" s="230"/>
      <c r="T155" s="230"/>
      <c r="U155" s="230"/>
      <c r="V155" s="230"/>
      <c r="W155" s="230"/>
      <c r="X155" s="234"/>
      <c r="Y155" s="234"/>
      <c r="Z155" s="234"/>
      <c r="AA155" s="234"/>
    </row>
    <row r="156" spans="2:27" ht="35.4" customHeight="1" outlineLevel="1" x14ac:dyDescent="0.3">
      <c r="B156" s="1149" t="s">
        <v>1521</v>
      </c>
      <c r="C156" s="1149"/>
      <c r="D156" s="1149"/>
      <c r="E156" s="1149"/>
      <c r="F156" s="1149"/>
      <c r="G156" s="1149"/>
      <c r="H156" s="1149"/>
      <c r="I156" s="1149"/>
      <c r="J156" s="1149"/>
      <c r="K156" s="1149"/>
      <c r="L156" s="1149"/>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13" t="s">
        <v>1247</v>
      </c>
      <c r="C157" s="1213"/>
      <c r="D157" s="1213"/>
      <c r="E157" s="1213"/>
      <c r="F157" s="1213"/>
      <c r="G157" s="1213"/>
      <c r="H157" s="1213"/>
      <c r="I157" s="1213"/>
      <c r="J157" s="1213"/>
      <c r="K157" s="1213"/>
      <c r="L157" s="1213"/>
      <c r="M157" s="1213"/>
      <c r="N157" s="230"/>
      <c r="O157" s="230"/>
      <c r="P157" s="230"/>
      <c r="Q157" s="230"/>
      <c r="R157" s="230"/>
      <c r="S157" s="230"/>
      <c r="T157" s="230"/>
      <c r="U157" s="230"/>
      <c r="V157" s="230"/>
      <c r="W157" s="230"/>
      <c r="X157" s="234"/>
      <c r="Y157" s="234"/>
      <c r="Z157" s="234"/>
      <c r="AA157" s="234"/>
    </row>
    <row r="158" spans="2:27" ht="19.95" customHeight="1" outlineLevel="1" x14ac:dyDescent="0.3">
      <c r="B158" s="1149" t="s">
        <v>1194</v>
      </c>
      <c r="C158" s="1149"/>
      <c r="D158" s="1149"/>
      <c r="E158" s="1149"/>
      <c r="F158" s="1149"/>
      <c r="G158" s="1149"/>
      <c r="H158" s="1149"/>
      <c r="I158" s="1149"/>
      <c r="J158" s="1149"/>
      <c r="K158" s="1149"/>
      <c r="L158" s="1149"/>
      <c r="M158" s="1149"/>
      <c r="N158" s="1149"/>
      <c r="O158" s="1149"/>
      <c r="P158" s="1149"/>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70" t="s">
        <v>896</v>
      </c>
      <c r="C163" s="1070" t="s">
        <v>897</v>
      </c>
      <c r="D163" s="1070" t="s">
        <v>1190</v>
      </c>
      <c r="E163" s="1198" t="s">
        <v>257</v>
      </c>
      <c r="F163" s="1198"/>
      <c r="G163" s="257" t="s">
        <v>1125</v>
      </c>
      <c r="H163" s="1198" t="s">
        <v>1126</v>
      </c>
      <c r="I163" s="1198"/>
      <c r="J163" s="1198"/>
      <c r="K163" s="258" t="s">
        <v>1127</v>
      </c>
      <c r="L163" s="1209" t="s">
        <v>1128</v>
      </c>
      <c r="M163" s="1209"/>
      <c r="N163" s="1209" t="s">
        <v>1196</v>
      </c>
      <c r="O163" s="1209"/>
      <c r="P163" s="1209"/>
      <c r="Q163" s="1209"/>
      <c r="R163" s="1209" t="s">
        <v>1197</v>
      </c>
      <c r="S163" s="1209"/>
      <c r="T163" s="1209"/>
      <c r="U163" s="1209" t="s">
        <v>1198</v>
      </c>
      <c r="V163" s="1209"/>
      <c r="W163" s="1209"/>
      <c r="Z163" s="259"/>
      <c r="AA163" s="259"/>
      <c r="AB163" s="259"/>
      <c r="AC163" s="259"/>
      <c r="AD163" s="259"/>
      <c r="AE163" s="259"/>
      <c r="AF163" s="259"/>
      <c r="AG163" s="259"/>
      <c r="AH163" s="259"/>
      <c r="AI163" s="259"/>
      <c r="AJ163" s="259"/>
      <c r="AK163" s="260"/>
    </row>
    <row r="164" spans="1:37" ht="30" customHeight="1" outlineLevel="1" x14ac:dyDescent="0.3">
      <c r="B164" s="1071"/>
      <c r="C164" s="1071"/>
      <c r="D164" s="1071"/>
      <c r="E164" s="1198" t="s">
        <v>429</v>
      </c>
      <c r="F164" s="1070" t="s">
        <v>1120</v>
      </c>
      <c r="G164" s="1198" t="s">
        <v>1056</v>
      </c>
      <c r="H164" s="1198" t="s">
        <v>1057</v>
      </c>
      <c r="I164" s="1198" t="s">
        <v>1597</v>
      </c>
      <c r="J164" s="1070" t="s">
        <v>949</v>
      </c>
      <c r="K164" s="1198" t="s">
        <v>1122</v>
      </c>
      <c r="L164" s="1070" t="s">
        <v>1055</v>
      </c>
      <c r="M164" s="1144" t="s">
        <v>1195</v>
      </c>
      <c r="N164" s="1084" t="s">
        <v>1143</v>
      </c>
      <c r="O164" s="1084" t="s">
        <v>1144</v>
      </c>
      <c r="P164" s="1084" t="s">
        <v>1121</v>
      </c>
      <c r="Q164" s="1084" t="s">
        <v>1145</v>
      </c>
      <c r="R164" s="1084" t="s">
        <v>1146</v>
      </c>
      <c r="S164" s="1084" t="s">
        <v>1147</v>
      </c>
      <c r="T164" s="1084" t="s">
        <v>1148</v>
      </c>
      <c r="U164" s="1084" t="s">
        <v>1149</v>
      </c>
      <c r="V164" s="1084" t="s">
        <v>1150</v>
      </c>
      <c r="W164" s="1084" t="s">
        <v>1151</v>
      </c>
      <c r="Z164" s="261"/>
      <c r="AA164" s="261"/>
      <c r="AB164" s="261"/>
      <c r="AC164" s="261"/>
      <c r="AD164" s="261"/>
      <c r="AE164" s="261"/>
      <c r="AF164" s="261"/>
      <c r="AG164" s="259"/>
      <c r="AH164" s="259"/>
      <c r="AI164" s="259"/>
      <c r="AJ164" s="259"/>
      <c r="AK164" s="260"/>
    </row>
    <row r="165" spans="1:37" ht="32.25" customHeight="1" outlineLevel="1" x14ac:dyDescent="0.3">
      <c r="B165" s="1083"/>
      <c r="C165" s="1083"/>
      <c r="D165" s="1083"/>
      <c r="E165" s="1198"/>
      <c r="F165" s="1083"/>
      <c r="G165" s="1198"/>
      <c r="H165" s="1198"/>
      <c r="I165" s="1198"/>
      <c r="J165" s="1083"/>
      <c r="K165" s="1198"/>
      <c r="L165" s="1083"/>
      <c r="M165" s="1144"/>
      <c r="N165" s="1086"/>
      <c r="O165" s="1086"/>
      <c r="P165" s="1086"/>
      <c r="Q165" s="1086"/>
      <c r="R165" s="1086"/>
      <c r="S165" s="1086"/>
      <c r="T165" s="1086"/>
      <c r="U165" s="1086"/>
      <c r="V165" s="1086"/>
      <c r="W165" s="1086"/>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46.8" outlineLevel="1" x14ac:dyDescent="0.3">
      <c r="B167" s="269" t="s">
        <v>1077</v>
      </c>
      <c r="C167" s="962" t="s">
        <v>1632</v>
      </c>
      <c r="D167" s="250" t="s">
        <v>1188</v>
      </c>
      <c r="E167" s="249" t="s">
        <v>417</v>
      </c>
      <c r="F167" s="928">
        <f>0.9*4.284</f>
        <v>3.8555999999999999</v>
      </c>
      <c r="G167" s="269"/>
      <c r="H167" s="270"/>
      <c r="I167" s="270"/>
      <c r="J167" s="271"/>
      <c r="K167" s="623"/>
      <c r="L167" s="249"/>
      <c r="M167" s="563"/>
      <c r="N167" s="1002">
        <f>IFERROR(IF(E167=FAAS!$B$81,I167,VLOOKUP(E167,FAAS!$K$113:$L$134,2,FALSE)),"")</f>
        <v>50.276203164029972</v>
      </c>
      <c r="O167" s="1002">
        <f>IFERROR(N167*F167,"")</f>
        <v>193.84492891923395</v>
      </c>
      <c r="P167" s="1002">
        <f>IFERROR(IF(VLOOKUP(B167,'Dados gerais'!$D$33:$F$35,3,FALSE)="",VLOOKUP('Outras emissões de processo'!B167,'Fatores de Emissão'!$B$12:$E$14,3, FALSE),VLOOKUP(B167,'Dados gerais'!$D$33:$F$35,3,FALSE)),"")</f>
        <v>2.6666666666666665</v>
      </c>
      <c r="Q167" s="1002">
        <f>IFERROR(O167/P167,"")</f>
        <v>72.691848344712739</v>
      </c>
      <c r="R167" s="575" t="str">
        <f>IFERROR(IF(G167=FAAS!$K$135,'Outras emissões de processo'!I167,VLOOKUP(G167,FAAS!$B$63:$J$82,9,FALSE)),"")</f>
        <v/>
      </c>
      <c r="S167" s="575" t="str">
        <f>IFERROR(R167*K167,"")</f>
        <v/>
      </c>
      <c r="T167" s="575" t="str">
        <f>IFERROR(S167*P167,"")</f>
        <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46.8" outlineLevel="1" x14ac:dyDescent="0.3">
      <c r="B168" s="269" t="s">
        <v>1077</v>
      </c>
      <c r="C168" s="962" t="s">
        <v>1632</v>
      </c>
      <c r="D168" s="250" t="s">
        <v>1189</v>
      </c>
      <c r="E168" s="249"/>
      <c r="F168" s="928"/>
      <c r="G168" s="269" t="s">
        <v>514</v>
      </c>
      <c r="H168" s="270"/>
      <c r="I168" s="270"/>
      <c r="J168" s="271"/>
      <c r="K168" s="623">
        <f>0.1*4.284</f>
        <v>0.4284</v>
      </c>
      <c r="L168" s="249"/>
      <c r="M168" s="563"/>
      <c r="N168" s="1002" t="str">
        <f>IFERROR(IF(E168=FAAS!$B$81,I168,VLOOKUP(E168,FAAS!$K$113:$L$134,2,FALSE)),"")</f>
        <v/>
      </c>
      <c r="O168" s="1002" t="str">
        <f>IFERROR(N168*F168,"")</f>
        <v/>
      </c>
      <c r="P168" s="1002">
        <f>IFERROR(IF(VLOOKUP(B168,'Dados gerais'!$D$33:$F$35,3,FALSE)="",VLOOKUP('Outras emissões de processo'!B168,'Fatores de Emissão'!$B$12:$E$14,3, FALSE),VLOOKUP(B168,'Dados gerais'!$D$33:$F$35,3,FALSE)),"")</f>
        <v>2.6666666666666665</v>
      </c>
      <c r="Q168" s="1002" t="str">
        <f>IFERROR(O168/P168,"")</f>
        <v/>
      </c>
      <c r="R168" s="575">
        <f>IFERROR(IF(G168=FAAS!$K$135,'Outras emissões de processo'!I168,VLOOKUP(G168,FAAS!$B$63:$J$82,9,FALSE)),"")</f>
        <v>1.2185896286427975</v>
      </c>
      <c r="S168" s="575">
        <f t="shared" ref="S168:S231" si="2">IFERROR(R168*K168,"")</f>
        <v>0.52204379691057445</v>
      </c>
      <c r="T168" s="575">
        <f t="shared" ref="T168:T231" si="3">IFERROR(S168*P168,"")</f>
        <v>1.3921167917615318</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46.8" outlineLevel="1" x14ac:dyDescent="0.3">
      <c r="B169" s="269" t="s">
        <v>37</v>
      </c>
      <c r="C169" s="962" t="s">
        <v>1632</v>
      </c>
      <c r="D169" s="250" t="s">
        <v>1189</v>
      </c>
      <c r="E169" s="249"/>
      <c r="F169" s="928"/>
      <c r="G169" s="269" t="s">
        <v>514</v>
      </c>
      <c r="H169" s="270"/>
      <c r="I169" s="270"/>
      <c r="J169" s="271"/>
      <c r="K169" s="623">
        <f>+F167+K168</f>
        <v>4.2839999999999998</v>
      </c>
      <c r="L169" s="249"/>
      <c r="M169" s="563"/>
      <c r="N169" s="1002" t="str">
        <f>IFERROR(IF(E169=FAAS!$B$81,I169,VLOOKUP(E169,FAAS!$K$113:$L$134,2,FALSE)),"")</f>
        <v/>
      </c>
      <c r="O169" s="1002" t="str">
        <f t="shared" ref="O169:O232" si="6">IFERROR(N169*F169,"")</f>
        <v/>
      </c>
      <c r="P169" s="1002">
        <f>IFERROR(IF(VLOOKUP(B169,'Dados gerais'!$D$33:$F$35,3,FALSE)="",VLOOKUP('Outras emissões de processo'!B169,'Fatores de Emissão'!$B$12:$E$14,3, FALSE),VLOOKUP(B169,'Dados gerais'!$D$33:$F$35,3,FALSE)),"")</f>
        <v>40</v>
      </c>
      <c r="Q169" s="1002" t="str">
        <f t="shared" ref="Q169:Q232" si="7">IFERROR(O169/P169,"")</f>
        <v/>
      </c>
      <c r="R169" s="575">
        <f>IFERROR(IF(G169=FAAS!$K$135,'Outras emissões de processo'!I169,VLOOKUP(G169,FAAS!$B$63:$J$82,9,FALSE)),"")</f>
        <v>1.2185896286427975</v>
      </c>
      <c r="S169" s="575">
        <f t="shared" si="2"/>
        <v>5.2204379691057445</v>
      </c>
      <c r="T169" s="575">
        <f t="shared" si="3"/>
        <v>208.81751876422979</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46.8" outlineLevel="1" x14ac:dyDescent="0.3">
      <c r="B170" s="269" t="s">
        <v>1077</v>
      </c>
      <c r="C170" s="962" t="s">
        <v>1633</v>
      </c>
      <c r="D170" s="250" t="s">
        <v>1189</v>
      </c>
      <c r="E170" s="249"/>
      <c r="F170" s="928"/>
      <c r="G170" s="269" t="s">
        <v>417</v>
      </c>
      <c r="H170" s="270"/>
      <c r="I170" s="270"/>
      <c r="J170" s="271"/>
      <c r="K170" s="623">
        <f>0.9*14.649</f>
        <v>13.184099999999999</v>
      </c>
      <c r="L170" s="249"/>
      <c r="M170" s="563"/>
      <c r="N170" s="1002" t="str">
        <f>IFERROR(IF(E170=FAAS!$B$81,I170,VLOOKUP(E170,FAAS!$K$113:$L$134,2,FALSE)),"")</f>
        <v/>
      </c>
      <c r="O170" s="1002" t="str">
        <f t="shared" si="6"/>
        <v/>
      </c>
      <c r="P170" s="1002">
        <f>IFERROR(IF(VLOOKUP(B170,'Dados gerais'!$D$33:$F$35,3,FALSE)="",VLOOKUP('Outras emissões de processo'!B170,'Fatores de Emissão'!$B$12:$E$14,3, FALSE),VLOOKUP(B170,'Dados gerais'!$D$33:$F$35,3,FALSE)),"")</f>
        <v>2.6666666666666665</v>
      </c>
      <c r="Q170" s="1002" t="str">
        <f t="shared" si="7"/>
        <v/>
      </c>
      <c r="R170" s="575">
        <f>IFERROR(IF(G170=FAAS!$K$135,'Outras emissões de processo'!I170,VLOOKUP(G170,FAAS!$B$63:$J$82,9,FALSE)),"")</f>
        <v>1.8574378358867605</v>
      </c>
      <c r="S170" s="575">
        <f t="shared" si="2"/>
        <v>24.488646172114638</v>
      </c>
      <c r="T170" s="575">
        <f t="shared" si="3"/>
        <v>65.303056458972364</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46.8" outlineLevel="1" x14ac:dyDescent="0.3">
      <c r="B171" s="269" t="s">
        <v>1077</v>
      </c>
      <c r="C171" s="962" t="s">
        <v>1633</v>
      </c>
      <c r="D171" s="250" t="s">
        <v>1189</v>
      </c>
      <c r="E171" s="249"/>
      <c r="F171" s="928"/>
      <c r="G171" s="269" t="s">
        <v>513</v>
      </c>
      <c r="H171" s="270"/>
      <c r="I171" s="270"/>
      <c r="J171" s="271"/>
      <c r="K171" s="623">
        <f>0.1*14.649</f>
        <v>1.4649000000000001</v>
      </c>
      <c r="L171" s="249"/>
      <c r="M171" s="563"/>
      <c r="N171" s="1002" t="str">
        <f>IFERROR(IF(E171=FAAS!$B$81,I171,VLOOKUP(E171,FAAS!$K$113:$L$134,2,FALSE)),"")</f>
        <v/>
      </c>
      <c r="O171" s="1002" t="str">
        <f t="shared" si="6"/>
        <v/>
      </c>
      <c r="P171" s="1002">
        <f>IFERROR(IF(VLOOKUP(B171,'Dados gerais'!$D$33:$F$35,3,FALSE)="",VLOOKUP('Outras emissões de processo'!B171,'Fatores de Emissão'!$B$12:$E$14,3, FALSE),VLOOKUP(B171,'Dados gerais'!$D$33:$F$35,3,FALSE)),"")</f>
        <v>2.6666666666666665</v>
      </c>
      <c r="Q171" s="1002" t="str">
        <f t="shared" si="7"/>
        <v/>
      </c>
      <c r="R171" s="575">
        <f>IFERROR(IF(G171=FAAS!$K$135,'Outras emissões de processo'!I171,VLOOKUP(G171,FAAS!$B$63:$J$82,9,FALSE)),"")</f>
        <v>1.1954817405923699</v>
      </c>
      <c r="S171" s="575">
        <f t="shared" si="2"/>
        <v>1.7512612017937628</v>
      </c>
      <c r="T171" s="575">
        <f t="shared" si="3"/>
        <v>4.6700298714500335</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31.2" outlineLevel="1" x14ac:dyDescent="0.3">
      <c r="B172" s="269" t="s">
        <v>37</v>
      </c>
      <c r="C172" s="962" t="s">
        <v>1633</v>
      </c>
      <c r="D172" s="250" t="s">
        <v>1189</v>
      </c>
      <c r="E172" s="249"/>
      <c r="F172" s="928"/>
      <c r="G172" s="269" t="s">
        <v>417</v>
      </c>
      <c r="H172" s="270"/>
      <c r="I172" s="270"/>
      <c r="J172" s="271"/>
      <c r="K172" s="623">
        <f>0.9*14.649</f>
        <v>13.184099999999999</v>
      </c>
      <c r="L172" s="249"/>
      <c r="M172" s="563"/>
      <c r="N172" s="1002" t="str">
        <f>IFERROR(IF(E172=FAAS!$B$81,I172,VLOOKUP(E172,FAAS!$K$113:$L$134,2,FALSE)),"")</f>
        <v/>
      </c>
      <c r="O172" s="1002" t="str">
        <f t="shared" si="6"/>
        <v/>
      </c>
      <c r="P172" s="1002">
        <f>IFERROR(IF(VLOOKUP(B172,'Dados gerais'!$D$33:$F$35,3,FALSE)="",VLOOKUP('Outras emissões de processo'!B172,'Fatores de Emissão'!$B$12:$E$14,3, FALSE),VLOOKUP(B172,'Dados gerais'!$D$33:$F$35,3,FALSE)),"")</f>
        <v>40</v>
      </c>
      <c r="Q172" s="1002" t="str">
        <f t="shared" si="7"/>
        <v/>
      </c>
      <c r="R172" s="575">
        <f>IFERROR(IF(G172=FAAS!$K$135,'Outras emissões de processo'!I172,VLOOKUP(G172,FAAS!$B$63:$J$82,9,FALSE)),"")</f>
        <v>1.8574378358867605</v>
      </c>
      <c r="S172" s="575">
        <f t="shared" si="2"/>
        <v>24.488646172114638</v>
      </c>
      <c r="T172" s="575">
        <f t="shared" si="3"/>
        <v>979.54584688458556</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31.2" outlineLevel="1" x14ac:dyDescent="0.3">
      <c r="B173" s="269" t="s">
        <v>37</v>
      </c>
      <c r="C173" s="962" t="s">
        <v>1633</v>
      </c>
      <c r="D173" s="250" t="s">
        <v>1189</v>
      </c>
      <c r="E173" s="249"/>
      <c r="F173" s="928"/>
      <c r="G173" s="269" t="s">
        <v>513</v>
      </c>
      <c r="H173" s="270"/>
      <c r="I173" s="270"/>
      <c r="J173" s="271"/>
      <c r="K173" s="623">
        <f>+K171</f>
        <v>1.4649000000000001</v>
      </c>
      <c r="L173" s="249"/>
      <c r="M173" s="563"/>
      <c r="N173" s="1002" t="str">
        <f>IFERROR(IF(E173=FAAS!$B$81,I173,VLOOKUP(E173,FAAS!$K$113:$L$134,2,FALSE)),"")</f>
        <v/>
      </c>
      <c r="O173" s="1002" t="str">
        <f t="shared" si="6"/>
        <v/>
      </c>
      <c r="P173" s="1002">
        <f>IFERROR(IF(VLOOKUP(B173,'Dados gerais'!$D$33:$F$35,3,FALSE)="",VLOOKUP('Outras emissões de processo'!B173,'Fatores de Emissão'!$B$12:$E$14,3, FALSE),VLOOKUP(B173,'Dados gerais'!$D$33:$F$35,3,FALSE)),"")</f>
        <v>40</v>
      </c>
      <c r="Q173" s="1002" t="str">
        <f t="shared" si="7"/>
        <v/>
      </c>
      <c r="R173" s="575">
        <f>IFERROR(IF(G173=FAAS!$K$135,'Outras emissões de processo'!I173,VLOOKUP(G173,FAAS!$B$63:$J$82,9,FALSE)),"")</f>
        <v>1.1954817405923699</v>
      </c>
      <c r="S173" s="575">
        <f t="shared" si="2"/>
        <v>1.7512612017937628</v>
      </c>
      <c r="T173" s="575">
        <f t="shared" si="3"/>
        <v>70.050448071750509</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46.8" outlineLevel="1" x14ac:dyDescent="0.3">
      <c r="B174" s="269" t="s">
        <v>1077</v>
      </c>
      <c r="C174" s="962" t="s">
        <v>1634</v>
      </c>
      <c r="D174" s="250" t="s">
        <v>1188</v>
      </c>
      <c r="E174" s="249" t="s">
        <v>417</v>
      </c>
      <c r="F174" s="928">
        <f>0.9*0.123</f>
        <v>0.11070000000000001</v>
      </c>
      <c r="G174" s="269"/>
      <c r="H174" s="270"/>
      <c r="I174" s="270"/>
      <c r="J174" s="271"/>
      <c r="K174" s="623"/>
      <c r="L174" s="249"/>
      <c r="M174" s="563"/>
      <c r="N174" s="1002">
        <f>IFERROR(IF(E174=FAAS!$B$81,I174,VLOOKUP(E174,FAAS!$K$113:$L$134,2,FALSE)),"")</f>
        <v>50.276203164029972</v>
      </c>
      <c r="O174" s="1002">
        <f t="shared" si="6"/>
        <v>5.5655756902581182</v>
      </c>
      <c r="P174" s="1002">
        <f>IFERROR(IF(VLOOKUP(B174,'Dados gerais'!$D$33:$F$35,3,FALSE)="",VLOOKUP('Outras emissões de processo'!B174,'Fatores de Emissão'!$B$12:$E$14,3, FALSE),VLOOKUP(B174,'Dados gerais'!$D$33:$F$35,3,FALSE)),"")</f>
        <v>2.6666666666666665</v>
      </c>
      <c r="Q174" s="1002">
        <f t="shared" si="7"/>
        <v>2.0870908838467943</v>
      </c>
      <c r="R174" s="575" t="str">
        <f>IFERROR(IF(G174=FAAS!$K$135,'Outras emissões de processo'!I174,VLOOKUP(G174,FAAS!$B$63:$J$82,9,FALSE)),"")</f>
        <v/>
      </c>
      <c r="S174" s="575" t="str">
        <f t="shared" si="2"/>
        <v/>
      </c>
      <c r="T174" s="575" t="str">
        <f t="shared" si="3"/>
        <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46.8" outlineLevel="1" x14ac:dyDescent="0.3">
      <c r="B175" s="269" t="s">
        <v>1077</v>
      </c>
      <c r="C175" s="962" t="s">
        <v>1634</v>
      </c>
      <c r="D175" s="250" t="s">
        <v>1189</v>
      </c>
      <c r="E175" s="249"/>
      <c r="F175" s="928"/>
      <c r="G175" s="269" t="s">
        <v>513</v>
      </c>
      <c r="H175" s="270"/>
      <c r="I175" s="270"/>
      <c r="J175" s="271"/>
      <c r="K175" s="623">
        <f>0.1*0.123</f>
        <v>1.23E-2</v>
      </c>
      <c r="L175" s="249"/>
      <c r="M175" s="563"/>
      <c r="N175" s="1002" t="str">
        <f>IFERROR(IF(E175=FAAS!$B$81,I175,VLOOKUP(E175,FAAS!$K$113:$L$134,2,FALSE)),"")</f>
        <v/>
      </c>
      <c r="O175" s="1002" t="str">
        <f t="shared" si="6"/>
        <v/>
      </c>
      <c r="P175" s="1002">
        <f>IFERROR(IF(VLOOKUP(B175,'Dados gerais'!$D$33:$F$35,3,FALSE)="",VLOOKUP('Outras emissões de processo'!B175,'Fatores de Emissão'!$B$12:$E$14,3, FALSE),VLOOKUP(B175,'Dados gerais'!$D$33:$F$35,3,FALSE)),"")</f>
        <v>2.6666666666666665</v>
      </c>
      <c r="Q175" s="1002" t="str">
        <f t="shared" si="7"/>
        <v/>
      </c>
      <c r="R175" s="575">
        <f>IFERROR(IF(G175=FAAS!$K$135,'Outras emissões de processo'!I175,VLOOKUP(G175,FAAS!$B$63:$J$82,9,FALSE)),"")</f>
        <v>1.1954817405923699</v>
      </c>
      <c r="S175" s="575">
        <f t="shared" si="2"/>
        <v>1.470442540928615E-2</v>
      </c>
      <c r="T175" s="575">
        <f t="shared" si="3"/>
        <v>3.9211801091429729E-2</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46.8" outlineLevel="1" x14ac:dyDescent="0.3">
      <c r="B176" s="269" t="s">
        <v>37</v>
      </c>
      <c r="C176" s="962" t="s">
        <v>1634</v>
      </c>
      <c r="D176" s="250" t="s">
        <v>1189</v>
      </c>
      <c r="E176" s="249"/>
      <c r="F176" s="928"/>
      <c r="G176" s="269" t="s">
        <v>513</v>
      </c>
      <c r="H176" s="270"/>
      <c r="I176" s="270"/>
      <c r="J176" s="271"/>
      <c r="K176" s="623">
        <f>+K175+F174</f>
        <v>0.12300000000000001</v>
      </c>
      <c r="L176" s="249"/>
      <c r="M176" s="563"/>
      <c r="N176" s="1002" t="str">
        <f>IFERROR(IF(E176=FAAS!$B$81,I176,VLOOKUP(E176,FAAS!$K$113:$L$134,2,FALSE)),"")</f>
        <v/>
      </c>
      <c r="O176" s="1002" t="str">
        <f t="shared" si="6"/>
        <v/>
      </c>
      <c r="P176" s="1002">
        <f>IFERROR(IF(VLOOKUP(B176,'Dados gerais'!$D$33:$F$35,3,FALSE)="",VLOOKUP('Outras emissões de processo'!B176,'Fatores de Emissão'!$B$12:$E$14,3, FALSE),VLOOKUP(B176,'Dados gerais'!$D$33:$F$35,3,FALSE)),"")</f>
        <v>40</v>
      </c>
      <c r="Q176" s="1002" t="str">
        <f t="shared" si="7"/>
        <v/>
      </c>
      <c r="R176" s="575">
        <f>IFERROR(IF(G176=FAAS!$K$135,'Outras emissões de processo'!I176,VLOOKUP(G176,FAAS!$B$63:$J$82,9,FALSE)),"")</f>
        <v>1.1954817405923699</v>
      </c>
      <c r="S176" s="575">
        <f t="shared" si="2"/>
        <v>0.14704425409286151</v>
      </c>
      <c r="T176" s="575">
        <f t="shared" si="3"/>
        <v>5.8817701637144602</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46.8" outlineLevel="1" x14ac:dyDescent="0.3">
      <c r="B177" s="269" t="s">
        <v>1077</v>
      </c>
      <c r="C177" s="962" t="s">
        <v>1635</v>
      </c>
      <c r="D177" s="250" t="s">
        <v>1188</v>
      </c>
      <c r="E177" s="249" t="s">
        <v>417</v>
      </c>
      <c r="F177" s="928">
        <f>0.9*0.006</f>
        <v>5.4000000000000003E-3</v>
      </c>
      <c r="G177" s="269"/>
      <c r="H177" s="270"/>
      <c r="I177" s="270"/>
      <c r="J177" s="271"/>
      <c r="K177" s="623"/>
      <c r="L177" s="249"/>
      <c r="M177" s="563"/>
      <c r="N177" s="1002">
        <f>IFERROR(IF(E177=FAAS!$B$81,I177,VLOOKUP(E177,FAAS!$K$113:$L$134,2,FALSE)),"")</f>
        <v>50.276203164029972</v>
      </c>
      <c r="O177" s="1002">
        <f t="shared" si="6"/>
        <v>0.27149149708576187</v>
      </c>
      <c r="P177" s="1002">
        <f>IFERROR(IF(VLOOKUP(B177,'Dados gerais'!$D$33:$F$35,3,FALSE)="",VLOOKUP('Outras emissões de processo'!B177,'Fatores de Emissão'!$B$12:$E$14,3, FALSE),VLOOKUP(B177,'Dados gerais'!$D$33:$F$35,3,FALSE)),"")</f>
        <v>2.6666666666666665</v>
      </c>
      <c r="Q177" s="1002">
        <f t="shared" si="7"/>
        <v>0.10180931140716071</v>
      </c>
      <c r="R177" s="575" t="str">
        <f>IFERROR(IF(G177=FAAS!$K$135,'Outras emissões de processo'!I177,VLOOKUP(G177,FAAS!$B$63:$J$82,9,FALSE)),"")</f>
        <v/>
      </c>
      <c r="S177" s="575" t="str">
        <f t="shared" si="2"/>
        <v/>
      </c>
      <c r="T177" s="575" t="str">
        <f t="shared" si="3"/>
        <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46.8" outlineLevel="2" x14ac:dyDescent="0.3">
      <c r="B178" s="269" t="s">
        <v>1077</v>
      </c>
      <c r="C178" s="962" t="s">
        <v>1635</v>
      </c>
      <c r="D178" s="250" t="s">
        <v>1188</v>
      </c>
      <c r="E178" s="249" t="s">
        <v>513</v>
      </c>
      <c r="F178" s="928">
        <f>0.1*0.006</f>
        <v>6.0000000000000006E-4</v>
      </c>
      <c r="G178" s="269"/>
      <c r="H178" s="270"/>
      <c r="I178" s="270"/>
      <c r="J178" s="271"/>
      <c r="K178" s="623"/>
      <c r="L178" s="249"/>
      <c r="M178" s="563"/>
      <c r="N178" s="1002">
        <f>IFERROR(IF(E178=FAAS!$B$81,I178,VLOOKUP(E178,FAAS!$K$113:$L$134,2,FALSE)),"")</f>
        <v>79</v>
      </c>
      <c r="O178" s="1002">
        <f t="shared" si="6"/>
        <v>4.7400000000000005E-2</v>
      </c>
      <c r="P178" s="1002">
        <f>IFERROR(IF(VLOOKUP(B178,'Dados gerais'!$D$33:$F$35,3,FALSE)="",VLOOKUP('Outras emissões de processo'!B178,'Fatores de Emissão'!$B$12:$E$14,3, FALSE),VLOOKUP(B178,'Dados gerais'!$D$33:$F$35,3,FALSE)),"")</f>
        <v>2.6666666666666665</v>
      </c>
      <c r="Q178" s="1002">
        <f t="shared" si="7"/>
        <v>1.7775000000000003E-2</v>
      </c>
      <c r="R178" s="575" t="str">
        <f>IFERROR(IF(G178=FAAS!$K$135,'Outras emissões de processo'!I178,VLOOKUP(G178,FAAS!$B$63:$J$82,9,FALSE)),"")</f>
        <v/>
      </c>
      <c r="S178" s="575" t="str">
        <f t="shared" si="2"/>
        <v/>
      </c>
      <c r="T178" s="575" t="str">
        <f t="shared" si="3"/>
        <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46.8" outlineLevel="2" x14ac:dyDescent="0.3">
      <c r="B179" s="269" t="s">
        <v>1077</v>
      </c>
      <c r="C179" s="962" t="s">
        <v>1636</v>
      </c>
      <c r="D179" s="250" t="s">
        <v>1188</v>
      </c>
      <c r="E179" s="249" t="s">
        <v>417</v>
      </c>
      <c r="F179" s="928">
        <f>0.9*0.9*1.17</f>
        <v>0.94769999999999999</v>
      </c>
      <c r="G179" s="269"/>
      <c r="H179" s="270"/>
      <c r="I179" s="270"/>
      <c r="J179" s="271"/>
      <c r="K179" s="623"/>
      <c r="L179" s="249"/>
      <c r="M179" s="563"/>
      <c r="N179" s="1002">
        <f>IFERROR(IF(E179=FAAS!$B$81,I179,VLOOKUP(E179,FAAS!$K$113:$L$134,2,FALSE)),"")</f>
        <v>50.276203164029972</v>
      </c>
      <c r="O179" s="1002">
        <f t="shared" si="6"/>
        <v>47.646757738551202</v>
      </c>
      <c r="P179" s="1002">
        <f>IFERROR(IF(VLOOKUP(B179,'Dados gerais'!$D$33:$F$35,3,FALSE)="",VLOOKUP('Outras emissões de processo'!B179,'Fatores de Emissão'!$B$12:$E$14,3, FALSE),VLOOKUP(B179,'Dados gerais'!$D$33:$F$35,3,FALSE)),"")</f>
        <v>2.6666666666666665</v>
      </c>
      <c r="Q179" s="1002">
        <f t="shared" si="7"/>
        <v>17.867534151956701</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46.8" outlineLevel="2" x14ac:dyDescent="0.3">
      <c r="B180" s="269" t="s">
        <v>1077</v>
      </c>
      <c r="C180" s="962" t="s">
        <v>1636</v>
      </c>
      <c r="D180" s="250" t="s">
        <v>1188</v>
      </c>
      <c r="E180" s="249" t="s">
        <v>513</v>
      </c>
      <c r="F180" s="928">
        <f>0.9*0.1*1.17</f>
        <v>0.1053</v>
      </c>
      <c r="G180" s="269"/>
      <c r="H180" s="270"/>
      <c r="I180" s="270"/>
      <c r="J180" s="271"/>
      <c r="K180" s="623"/>
      <c r="L180" s="249"/>
      <c r="M180" s="563"/>
      <c r="N180" s="1002">
        <f>IFERROR(IF(E180=FAAS!$B$81,I180,VLOOKUP(E180,FAAS!$K$113:$L$134,2,FALSE)),"")</f>
        <v>79</v>
      </c>
      <c r="O180" s="1002">
        <f t="shared" si="6"/>
        <v>8.3186999999999998</v>
      </c>
      <c r="P180" s="1002">
        <f>IFERROR(IF(VLOOKUP(B180,'Dados gerais'!$D$33:$F$35,3,FALSE)="",VLOOKUP('Outras emissões de processo'!B180,'Fatores de Emissão'!$B$12:$E$14,3, FALSE),VLOOKUP(B180,'Dados gerais'!$D$33:$F$35,3,FALSE)),"")</f>
        <v>2.6666666666666665</v>
      </c>
      <c r="Q180" s="1002">
        <f t="shared" si="7"/>
        <v>3.1195124999999999</v>
      </c>
      <c r="R180" s="575" t="str">
        <f>IFERROR(IF(G180=FAAS!$K$135,'Outras emissões de processo'!I180,VLOOKUP(G180,FAAS!$B$63:$J$82,9,FALSE)),"")</f>
        <v/>
      </c>
      <c r="S180" s="575" t="str">
        <f t="shared" si="2"/>
        <v/>
      </c>
      <c r="T180" s="575" t="str">
        <f t="shared" si="3"/>
        <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62.4" outlineLevel="2" x14ac:dyDescent="0.3">
      <c r="B181" s="269" t="s">
        <v>1077</v>
      </c>
      <c r="C181" s="962" t="s">
        <v>1637</v>
      </c>
      <c r="D181" s="250" t="s">
        <v>1188</v>
      </c>
      <c r="E181" s="249" t="s">
        <v>417</v>
      </c>
      <c r="F181" s="928">
        <f>0.9*0.9*50.735</f>
        <v>41.095350000000003</v>
      </c>
      <c r="G181" s="269"/>
      <c r="H181" s="270"/>
      <c r="I181" s="270"/>
      <c r="J181" s="271"/>
      <c r="K181" s="623"/>
      <c r="L181" s="249"/>
      <c r="M181" s="563"/>
      <c r="N181" s="1002">
        <f>IFERROR(IF(E181=FAAS!$B$81,I181,VLOOKUP(E181,FAAS!$K$113:$L$134,2,FALSE)),"")</f>
        <v>50.276203164029972</v>
      </c>
      <c r="O181" s="1002">
        <f t="shared" si="6"/>
        <v>2066.1181656969193</v>
      </c>
      <c r="P181" s="1002">
        <f>IFERROR(IF(VLOOKUP(B181,'Dados gerais'!$D$33:$F$35,3,FALSE)="",VLOOKUP('Outras emissões de processo'!B181,'Fatores de Emissão'!$B$12:$E$14,3, FALSE),VLOOKUP(B181,'Dados gerais'!$D$33:$F$35,3,FALSE)),"")</f>
        <v>2.6666666666666665</v>
      </c>
      <c r="Q181" s="1002">
        <f t="shared" si="7"/>
        <v>774.79431213634473</v>
      </c>
      <c r="R181" s="575" t="str">
        <f>IFERROR(IF(G181=FAAS!$K$135,'Outras emissões de processo'!I181,VLOOKUP(G181,FAAS!$B$63:$J$82,9,FALSE)),"")</f>
        <v/>
      </c>
      <c r="S181" s="575" t="str">
        <f t="shared" si="2"/>
        <v/>
      </c>
      <c r="T181" s="575" t="str">
        <f t="shared" si="3"/>
        <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62.4" outlineLevel="2" x14ac:dyDescent="0.3">
      <c r="B182" s="269" t="s">
        <v>1077</v>
      </c>
      <c r="C182" s="962" t="s">
        <v>1637</v>
      </c>
      <c r="D182" s="250" t="s">
        <v>1188</v>
      </c>
      <c r="E182" s="249" t="s">
        <v>513</v>
      </c>
      <c r="F182" s="928">
        <f>0.9*0.1*50.735</f>
        <v>4.5661500000000004</v>
      </c>
      <c r="G182" s="269"/>
      <c r="H182" s="270"/>
      <c r="I182" s="270"/>
      <c r="J182" s="271"/>
      <c r="K182" s="623"/>
      <c r="L182" s="249"/>
      <c r="M182" s="563"/>
      <c r="N182" s="1002">
        <f>IFERROR(IF(E182=FAAS!$B$81,I182,VLOOKUP(E182,FAAS!$K$113:$L$134,2,FALSE)),"")</f>
        <v>79</v>
      </c>
      <c r="O182" s="1002">
        <f t="shared" si="6"/>
        <v>360.72585000000004</v>
      </c>
      <c r="P182" s="1002">
        <f>IFERROR(IF(VLOOKUP(B182,'Dados gerais'!$D$33:$F$35,3,FALSE)="",VLOOKUP('Outras emissões de processo'!B182,'Fatores de Emissão'!$B$12:$E$14,3, FALSE),VLOOKUP(B182,'Dados gerais'!$D$33:$F$35,3,FALSE)),"")</f>
        <v>2.6666666666666665</v>
      </c>
      <c r="Q182" s="1002">
        <f t="shared" si="7"/>
        <v>135.27219375000001</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62.4" outlineLevel="2" x14ac:dyDescent="0.3">
      <c r="B183" s="269" t="s">
        <v>37</v>
      </c>
      <c r="C183" s="962" t="s">
        <v>1637</v>
      </c>
      <c r="D183" s="250" t="s">
        <v>1189</v>
      </c>
      <c r="E183" s="249"/>
      <c r="F183" s="928"/>
      <c r="G183" s="269" t="s">
        <v>414</v>
      </c>
      <c r="H183" s="270"/>
      <c r="I183" s="270"/>
      <c r="J183" s="271"/>
      <c r="K183" s="623">
        <f>+F182+F181</f>
        <v>45.661500000000004</v>
      </c>
      <c r="L183" s="249"/>
      <c r="M183" s="563"/>
      <c r="N183" s="1002" t="str">
        <f>IFERROR(IF(E183=FAAS!$B$81,I183,VLOOKUP(E183,FAAS!$K$113:$L$134,2,FALSE)),"")</f>
        <v/>
      </c>
      <c r="O183" s="1002" t="str">
        <f t="shared" si="6"/>
        <v/>
      </c>
      <c r="P183" s="1002">
        <f>IFERROR(IF(VLOOKUP(B183,'Dados gerais'!$D$33:$F$35,3,FALSE)="",VLOOKUP('Outras emissões de processo'!B183,'Fatores de Emissão'!$B$12:$E$14,3, FALSE),VLOOKUP(B183,'Dados gerais'!$D$33:$F$35,3,FALSE)),"")</f>
        <v>40</v>
      </c>
      <c r="Q183" s="1002" t="str">
        <f t="shared" si="7"/>
        <v/>
      </c>
      <c r="R183" s="575">
        <f>IFERROR(IF(G183=FAAS!$K$135,'Outras emissões de processo'!I183,VLOOKUP(G183,FAAS!$B$63:$J$82,9,FALSE)),"")</f>
        <v>7.0332457953372192</v>
      </c>
      <c r="S183" s="575">
        <f t="shared" si="2"/>
        <v>321.14855288379044</v>
      </c>
      <c r="T183" s="575">
        <f t="shared" si="3"/>
        <v>12845.942115351618</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46.8" outlineLevel="2" x14ac:dyDescent="0.3">
      <c r="B184" s="269" t="s">
        <v>1077</v>
      </c>
      <c r="C184" s="962" t="s">
        <v>1638</v>
      </c>
      <c r="D184" s="250" t="s">
        <v>1188</v>
      </c>
      <c r="E184" s="249" t="s">
        <v>417</v>
      </c>
      <c r="F184" s="928">
        <f>0.9*0.9*55.276</f>
        <v>44.773560000000003</v>
      </c>
      <c r="G184" s="269"/>
      <c r="H184" s="270"/>
      <c r="I184" s="270"/>
      <c r="J184" s="271"/>
      <c r="K184" s="623"/>
      <c r="L184" s="249"/>
      <c r="M184" s="563"/>
      <c r="N184" s="1002">
        <f>IFERROR(IF(E184=FAAS!$B$81,I184,VLOOKUP(E184,FAAS!$K$113:$L$134,2,FALSE)),"")</f>
        <v>50.276203164029972</v>
      </c>
      <c r="O184" s="1002">
        <f t="shared" si="6"/>
        <v>2251.0445989368859</v>
      </c>
      <c r="P184" s="1002">
        <f>IFERROR(IF(VLOOKUP(B184,'Dados gerais'!$D$33:$F$35,3,FALSE)="",VLOOKUP('Outras emissões de processo'!B184,'Fatores de Emissão'!$B$12:$E$14,3, FALSE),VLOOKUP(B184,'Dados gerais'!$D$33:$F$35,3,FALSE)),"")</f>
        <v>2.6666666666666665</v>
      </c>
      <c r="Q184" s="1002">
        <f t="shared" si="7"/>
        <v>844.14172460133227</v>
      </c>
      <c r="R184" s="575" t="str">
        <f>IFERROR(IF(G184=FAAS!$K$135,'Outras emissões de processo'!I184,VLOOKUP(G184,FAAS!$B$63:$J$82,9,FALSE)),"")</f>
        <v/>
      </c>
      <c r="S184" s="575" t="str">
        <f t="shared" si="2"/>
        <v/>
      </c>
      <c r="T184" s="575" t="str">
        <f t="shared" si="3"/>
        <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46.8" outlineLevel="2" x14ac:dyDescent="0.3">
      <c r="B185" s="269" t="s">
        <v>1077</v>
      </c>
      <c r="C185" s="962" t="s">
        <v>1638</v>
      </c>
      <c r="D185" s="250" t="s">
        <v>1189</v>
      </c>
      <c r="E185" s="249"/>
      <c r="F185" s="928"/>
      <c r="G185" s="269" t="s">
        <v>514</v>
      </c>
      <c r="H185" s="270"/>
      <c r="I185" s="270"/>
      <c r="J185" s="271"/>
      <c r="K185" s="623">
        <f>0.9*0.1*55.276</f>
        <v>4.9748400000000013</v>
      </c>
      <c r="L185" s="249"/>
      <c r="M185" s="563"/>
      <c r="N185" s="1002" t="str">
        <f>IFERROR(IF(E185=FAAS!$B$81,I185,VLOOKUP(E185,FAAS!$K$113:$L$134,2,FALSE)),"")</f>
        <v/>
      </c>
      <c r="O185" s="1002" t="str">
        <f t="shared" si="6"/>
        <v/>
      </c>
      <c r="P185" s="1002">
        <f>IFERROR(IF(VLOOKUP(B185,'Dados gerais'!$D$33:$F$35,3,FALSE)="",VLOOKUP('Outras emissões de processo'!B185,'Fatores de Emissão'!$B$12:$E$14,3, FALSE),VLOOKUP(B185,'Dados gerais'!$D$33:$F$35,3,FALSE)),"")</f>
        <v>2.6666666666666665</v>
      </c>
      <c r="Q185" s="1002" t="str">
        <f t="shared" si="7"/>
        <v/>
      </c>
      <c r="R185" s="575">
        <f>IFERROR(IF(G185=FAAS!$K$135,'Outras emissões de processo'!I185,VLOOKUP(G185,FAAS!$B$63:$J$82,9,FALSE)),"")</f>
        <v>1.2185896286427975</v>
      </c>
      <c r="S185" s="575">
        <f t="shared" si="2"/>
        <v>6.0622884281573359</v>
      </c>
      <c r="T185" s="575">
        <f t="shared" si="3"/>
        <v>16.166102475086227</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46.8" outlineLevel="2" x14ac:dyDescent="0.3">
      <c r="B186" s="269" t="s">
        <v>37</v>
      </c>
      <c r="C186" s="962" t="s">
        <v>1638</v>
      </c>
      <c r="D186" s="250" t="s">
        <v>1189</v>
      </c>
      <c r="E186" s="249"/>
      <c r="F186" s="928"/>
      <c r="G186" s="269" t="s">
        <v>514</v>
      </c>
      <c r="H186" s="270"/>
      <c r="I186" s="270"/>
      <c r="J186" s="271"/>
      <c r="K186" s="623">
        <f>+K185+F184</f>
        <v>49.748400000000004</v>
      </c>
      <c r="L186" s="249"/>
      <c r="M186" s="563"/>
      <c r="N186" s="1002" t="str">
        <f>IFERROR(IF(E186=FAAS!$B$81,I186,VLOOKUP(E186,FAAS!$K$113:$L$134,2,FALSE)),"")</f>
        <v/>
      </c>
      <c r="O186" s="1002" t="str">
        <f t="shared" si="6"/>
        <v/>
      </c>
      <c r="P186" s="1002">
        <f>IFERROR(IF(VLOOKUP(B186,'Dados gerais'!$D$33:$F$35,3,FALSE)="",VLOOKUP('Outras emissões de processo'!B186,'Fatores de Emissão'!$B$12:$E$14,3, FALSE),VLOOKUP(B186,'Dados gerais'!$D$33:$F$35,3,FALSE)),"")</f>
        <v>40</v>
      </c>
      <c r="Q186" s="1002" t="str">
        <f t="shared" si="7"/>
        <v/>
      </c>
      <c r="R186" s="575">
        <f>IFERROR(IF(G186=FAAS!$K$135,'Outras emissões de processo'!I186,VLOOKUP(G186,FAAS!$B$63:$J$82,9,FALSE)),"")</f>
        <v>1.2185896286427975</v>
      </c>
      <c r="S186" s="575">
        <f t="shared" si="2"/>
        <v>60.622884281573356</v>
      </c>
      <c r="T186" s="575">
        <f t="shared" si="3"/>
        <v>2424.9153712629341</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46.8" outlineLevel="2" x14ac:dyDescent="0.3">
      <c r="B187" s="269" t="s">
        <v>1077</v>
      </c>
      <c r="C187" s="962" t="s">
        <v>1639</v>
      </c>
      <c r="D187" s="250" t="s">
        <v>1188</v>
      </c>
      <c r="E187" s="249" t="s">
        <v>417</v>
      </c>
      <c r="F187" s="928">
        <f>0.9*0.9*0.147</f>
        <v>0.11907</v>
      </c>
      <c r="G187" s="269"/>
      <c r="H187" s="270"/>
      <c r="I187" s="270"/>
      <c r="J187" s="271"/>
      <c r="K187" s="623"/>
      <c r="L187" s="249"/>
      <c r="M187" s="563"/>
      <c r="N187" s="1002">
        <f>IFERROR(IF(E187=FAAS!$B$81,I187,VLOOKUP(E187,FAAS!$K$113:$L$134,2,FALSE)),"")</f>
        <v>50.276203164029972</v>
      </c>
      <c r="O187" s="1002">
        <f t="shared" si="6"/>
        <v>5.9863875107410482</v>
      </c>
      <c r="P187" s="1002">
        <f>IFERROR(IF(VLOOKUP(B187,'Dados gerais'!$D$33:$F$35,3,FALSE)="",VLOOKUP('Outras emissões de processo'!B187,'Fatores de Emissão'!$B$12:$E$14,3, FALSE),VLOOKUP(B187,'Dados gerais'!$D$33:$F$35,3,FALSE)),"")</f>
        <v>2.6666666666666665</v>
      </c>
      <c r="Q187" s="1002">
        <f t="shared" si="7"/>
        <v>2.2448953165278933</v>
      </c>
      <c r="R187" s="575" t="str">
        <f>IFERROR(IF(G187=FAAS!$K$135,'Outras emissões de processo'!I187,VLOOKUP(G187,FAAS!$B$63:$J$82,9,FALSE)),"")</f>
        <v/>
      </c>
      <c r="S187" s="575" t="str">
        <f t="shared" si="2"/>
        <v/>
      </c>
      <c r="T187" s="575" t="str">
        <f t="shared" si="3"/>
        <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46.8" outlineLevel="2" x14ac:dyDescent="0.3">
      <c r="B188" s="269" t="s">
        <v>1077</v>
      </c>
      <c r="C188" s="962" t="s">
        <v>1639</v>
      </c>
      <c r="D188" s="250" t="s">
        <v>1189</v>
      </c>
      <c r="E188" s="249"/>
      <c r="F188" s="928"/>
      <c r="G188" s="269" t="s">
        <v>513</v>
      </c>
      <c r="H188" s="270"/>
      <c r="I188" s="270"/>
      <c r="J188" s="271"/>
      <c r="K188" s="623">
        <f>0.9*0.1*0.147</f>
        <v>1.323E-2</v>
      </c>
      <c r="L188" s="249"/>
      <c r="M188" s="563"/>
      <c r="N188" s="1002" t="str">
        <f>IFERROR(IF(E188=FAAS!$B$81,I188,VLOOKUP(E188,FAAS!$K$113:$L$134,2,FALSE)),"")</f>
        <v/>
      </c>
      <c r="O188" s="1002" t="str">
        <f t="shared" si="6"/>
        <v/>
      </c>
      <c r="P188" s="1002">
        <f>IFERROR(IF(VLOOKUP(B188,'Dados gerais'!$D$33:$F$35,3,FALSE)="",VLOOKUP('Outras emissões de processo'!B188,'Fatores de Emissão'!$B$12:$E$14,3, FALSE),VLOOKUP(B188,'Dados gerais'!$D$33:$F$35,3,FALSE)),"")</f>
        <v>2.6666666666666665</v>
      </c>
      <c r="Q188" s="1002" t="str">
        <f t="shared" si="7"/>
        <v/>
      </c>
      <c r="R188" s="575">
        <f>IFERROR(IF(G188=FAAS!$K$135,'Outras emissões de processo'!I188,VLOOKUP(G188,FAAS!$B$63:$J$82,9,FALSE)),"")</f>
        <v>1.1954817405923699</v>
      </c>
      <c r="S188" s="575">
        <f t="shared" si="2"/>
        <v>1.5816223428037054E-2</v>
      </c>
      <c r="T188" s="575">
        <f t="shared" si="3"/>
        <v>4.2176595808098807E-2</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46.8" outlineLevel="2" x14ac:dyDescent="0.3">
      <c r="B189" s="269" t="s">
        <v>37</v>
      </c>
      <c r="C189" s="962" t="s">
        <v>1639</v>
      </c>
      <c r="D189" s="250" t="s">
        <v>1189</v>
      </c>
      <c r="E189" s="249"/>
      <c r="F189" s="928"/>
      <c r="G189" s="269" t="s">
        <v>513</v>
      </c>
      <c r="H189" s="270"/>
      <c r="I189" s="270"/>
      <c r="J189" s="271"/>
      <c r="K189" s="623">
        <f>+K188+F187</f>
        <v>0.1323</v>
      </c>
      <c r="L189" s="249"/>
      <c r="M189" s="563"/>
      <c r="N189" s="1002" t="str">
        <f>IFERROR(IF(E189=FAAS!$B$81,I189,VLOOKUP(E189,FAAS!$K$113:$L$134,2,FALSE)),"")</f>
        <v/>
      </c>
      <c r="O189" s="1002" t="str">
        <f t="shared" si="6"/>
        <v/>
      </c>
      <c r="P189" s="1002">
        <f>IFERROR(IF(VLOOKUP(B189,'Dados gerais'!$D$33:$F$35,3,FALSE)="",VLOOKUP('Outras emissões de processo'!B189,'Fatores de Emissão'!$B$12:$E$14,3, FALSE),VLOOKUP(B189,'Dados gerais'!$D$33:$F$35,3,FALSE)),"")</f>
        <v>40</v>
      </c>
      <c r="Q189" s="1002" t="str">
        <f t="shared" si="7"/>
        <v/>
      </c>
      <c r="R189" s="575">
        <f>IFERROR(IF(G189=FAAS!$K$135,'Outras emissões de processo'!I189,VLOOKUP(G189,FAAS!$B$63:$J$82,9,FALSE)),"")</f>
        <v>1.1954817405923699</v>
      </c>
      <c r="S189" s="575">
        <f t="shared" si="2"/>
        <v>0.15816223428037054</v>
      </c>
      <c r="T189" s="575">
        <f t="shared" si="3"/>
        <v>6.326489371214822</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46.8" outlineLevel="2" x14ac:dyDescent="0.3">
      <c r="B190" s="269" t="s">
        <v>1077</v>
      </c>
      <c r="C190" s="962" t="s">
        <v>1640</v>
      </c>
      <c r="D190" s="250" t="s">
        <v>1189</v>
      </c>
      <c r="E190" s="249"/>
      <c r="F190" s="928"/>
      <c r="G190" s="269" t="s">
        <v>417</v>
      </c>
      <c r="H190" s="270"/>
      <c r="I190" s="270"/>
      <c r="J190" s="271"/>
      <c r="K190" s="623">
        <f>0.9*0.9*5.372</f>
        <v>4.3513200000000003</v>
      </c>
      <c r="L190" s="249"/>
      <c r="M190" s="563"/>
      <c r="N190" s="1002" t="str">
        <f>IFERROR(IF(E190=FAAS!$B$81,I190,VLOOKUP(E190,FAAS!$K$113:$L$134,2,FALSE)),"")</f>
        <v/>
      </c>
      <c r="O190" s="1002" t="str">
        <f t="shared" si="6"/>
        <v/>
      </c>
      <c r="P190" s="1002">
        <f>IFERROR(IF(VLOOKUP(B190,'Dados gerais'!$D$33:$F$35,3,FALSE)="",VLOOKUP('Outras emissões de processo'!B190,'Fatores de Emissão'!$B$12:$E$14,3, FALSE),VLOOKUP(B190,'Dados gerais'!$D$33:$F$35,3,FALSE)),"")</f>
        <v>2.6666666666666665</v>
      </c>
      <c r="Q190" s="1002" t="str">
        <f t="shared" si="7"/>
        <v/>
      </c>
      <c r="R190" s="575">
        <f>IFERROR(IF(G190=FAAS!$K$135,'Outras emissões de processo'!I190,VLOOKUP(G190,FAAS!$B$63:$J$82,9,FALSE)),"")</f>
        <v>1.8574378358867605</v>
      </c>
      <c r="S190" s="575">
        <f t="shared" si="2"/>
        <v>8.0823064040507795</v>
      </c>
      <c r="T190" s="575">
        <f t="shared" si="3"/>
        <v>21.552817077468745</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46.8" outlineLevel="2" x14ac:dyDescent="0.3">
      <c r="B191" s="269" t="s">
        <v>1077</v>
      </c>
      <c r="C191" s="962" t="s">
        <v>1640</v>
      </c>
      <c r="D191" s="250" t="s">
        <v>1189</v>
      </c>
      <c r="E191" s="249"/>
      <c r="F191" s="928"/>
      <c r="G191" s="269" t="s">
        <v>513</v>
      </c>
      <c r="H191" s="270"/>
      <c r="I191" s="270"/>
      <c r="J191" s="271"/>
      <c r="K191" s="623">
        <f>0.9*0.1*5.372</f>
        <v>0.48348000000000002</v>
      </c>
      <c r="L191" s="249"/>
      <c r="M191" s="563"/>
      <c r="N191" s="1002" t="str">
        <f>IFERROR(IF(E191=FAAS!$B$81,I191,VLOOKUP(E191,FAAS!$K$113:$L$134,2,FALSE)),"")</f>
        <v/>
      </c>
      <c r="O191" s="1002" t="str">
        <f t="shared" si="6"/>
        <v/>
      </c>
      <c r="P191" s="1002">
        <f>IFERROR(IF(VLOOKUP(B191,'Dados gerais'!$D$33:$F$35,3,FALSE)="",VLOOKUP('Outras emissões de processo'!B191,'Fatores de Emissão'!$B$12:$E$14,3, FALSE),VLOOKUP(B191,'Dados gerais'!$D$33:$F$35,3,FALSE)),"")</f>
        <v>2.6666666666666665</v>
      </c>
      <c r="Q191" s="1002" t="str">
        <f t="shared" si="7"/>
        <v/>
      </c>
      <c r="R191" s="575">
        <f>IFERROR(IF(G191=FAAS!$K$135,'Outras emissões de processo'!I191,VLOOKUP(G191,FAAS!$B$63:$J$82,9,FALSE)),"")</f>
        <v>1.1954817405923699</v>
      </c>
      <c r="S191" s="575">
        <f t="shared" si="2"/>
        <v>0.57799151194159903</v>
      </c>
      <c r="T191" s="575">
        <f t="shared" si="3"/>
        <v>1.5413106985109306</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46.8" outlineLevel="2" x14ac:dyDescent="0.3">
      <c r="B192" s="269" t="s">
        <v>37</v>
      </c>
      <c r="C192" s="962" t="s">
        <v>1640</v>
      </c>
      <c r="D192" s="250" t="s">
        <v>1189</v>
      </c>
      <c r="E192" s="249"/>
      <c r="F192" s="928"/>
      <c r="G192" s="269" t="s">
        <v>417</v>
      </c>
      <c r="H192" s="270"/>
      <c r="I192" s="270"/>
      <c r="J192" s="271"/>
      <c r="K192" s="623">
        <f>+K190</f>
        <v>4.3513200000000003</v>
      </c>
      <c r="L192" s="249"/>
      <c r="M192" s="563"/>
      <c r="N192" s="1002" t="str">
        <f>IFERROR(IF(E192=FAAS!$B$81,I192,VLOOKUP(E192,FAAS!$K$113:$L$134,2,FALSE)),"")</f>
        <v/>
      </c>
      <c r="O192" s="1002" t="str">
        <f t="shared" si="6"/>
        <v/>
      </c>
      <c r="P192" s="1002">
        <f>IFERROR(IF(VLOOKUP(B192,'Dados gerais'!$D$33:$F$35,3,FALSE)="",VLOOKUP('Outras emissões de processo'!B192,'Fatores de Emissão'!$B$12:$E$14,3, FALSE),VLOOKUP(B192,'Dados gerais'!$D$33:$F$35,3,FALSE)),"")</f>
        <v>40</v>
      </c>
      <c r="Q192" s="1002" t="str">
        <f t="shared" si="7"/>
        <v/>
      </c>
      <c r="R192" s="575">
        <f>IFERROR(IF(G192=FAAS!$K$135,'Outras emissões de processo'!I192,VLOOKUP(G192,FAAS!$B$63:$J$82,9,FALSE)),"")</f>
        <v>1.8574378358867605</v>
      </c>
      <c r="S192" s="575">
        <f t="shared" si="2"/>
        <v>8.0823064040507795</v>
      </c>
      <c r="T192" s="575">
        <f t="shared" si="3"/>
        <v>323.29225616203121</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46.8" outlineLevel="2" x14ac:dyDescent="0.3">
      <c r="B193" s="269" t="s">
        <v>37</v>
      </c>
      <c r="C193" s="962" t="s">
        <v>1640</v>
      </c>
      <c r="D193" s="250" t="s">
        <v>1189</v>
      </c>
      <c r="E193" s="249"/>
      <c r="F193" s="928"/>
      <c r="G193" s="269" t="s">
        <v>513</v>
      </c>
      <c r="H193" s="270"/>
      <c r="I193" s="270"/>
      <c r="J193" s="271"/>
      <c r="K193" s="623">
        <f>+K191</f>
        <v>0.48348000000000002</v>
      </c>
      <c r="L193" s="249"/>
      <c r="M193" s="563"/>
      <c r="N193" s="1002" t="str">
        <f>IFERROR(IF(E193=FAAS!$B$81,I193,VLOOKUP(E193,FAAS!$K$113:$L$134,2,FALSE)),"")</f>
        <v/>
      </c>
      <c r="O193" s="1002" t="str">
        <f t="shared" si="6"/>
        <v/>
      </c>
      <c r="P193" s="1002">
        <f>IFERROR(IF(VLOOKUP(B193,'Dados gerais'!$D$33:$F$35,3,FALSE)="",VLOOKUP('Outras emissões de processo'!B193,'Fatores de Emissão'!$B$12:$E$14,3, FALSE),VLOOKUP(B193,'Dados gerais'!$D$33:$F$35,3,FALSE)),"")</f>
        <v>40</v>
      </c>
      <c r="Q193" s="1002" t="str">
        <f t="shared" si="7"/>
        <v/>
      </c>
      <c r="R193" s="575">
        <f>IFERROR(IF(G193=FAAS!$K$135,'Outras emissões de processo'!I193,VLOOKUP(G193,FAAS!$B$63:$J$82,9,FALSE)),"")</f>
        <v>1.1954817405923699</v>
      </c>
      <c r="S193" s="575">
        <f t="shared" si="2"/>
        <v>0.57799151194159903</v>
      </c>
      <c r="T193" s="575">
        <f t="shared" si="3"/>
        <v>23.119660477663963</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62.4" outlineLevel="2" x14ac:dyDescent="0.3">
      <c r="B194" s="269" t="s">
        <v>1077</v>
      </c>
      <c r="C194" s="962" t="s">
        <v>1641</v>
      </c>
      <c r="D194" s="250" t="s">
        <v>1188</v>
      </c>
      <c r="E194" s="249" t="s">
        <v>417</v>
      </c>
      <c r="F194" s="928">
        <f>0.9*0.9*0.41</f>
        <v>0.33210000000000001</v>
      </c>
      <c r="G194" s="269"/>
      <c r="H194" s="270"/>
      <c r="I194" s="270"/>
      <c r="J194" s="271"/>
      <c r="K194" s="623"/>
      <c r="L194" s="249"/>
      <c r="M194" s="563"/>
      <c r="N194" s="1002">
        <f>IFERROR(IF(E194=FAAS!$B$81,I194,VLOOKUP(E194,FAAS!$K$113:$L$134,2,FALSE)),"")</f>
        <v>50.276203164029972</v>
      </c>
      <c r="O194" s="1002">
        <f t="shared" si="6"/>
        <v>16.696727070774354</v>
      </c>
      <c r="P194" s="1002">
        <f>IFERROR(IF(VLOOKUP(B194,'Dados gerais'!$D$33:$F$35,3,FALSE)="",VLOOKUP('Outras emissões de processo'!B194,'Fatores de Emissão'!$B$12:$E$14,3, FALSE),VLOOKUP(B194,'Dados gerais'!$D$33:$F$35,3,FALSE)),"")</f>
        <v>2.6666666666666665</v>
      </c>
      <c r="Q194" s="1002">
        <f t="shared" si="7"/>
        <v>6.2612726515403834</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62.4" outlineLevel="2" x14ac:dyDescent="0.3">
      <c r="B195" s="269" t="s">
        <v>1077</v>
      </c>
      <c r="C195" s="962" t="s">
        <v>1641</v>
      </c>
      <c r="D195" s="250" t="s">
        <v>1189</v>
      </c>
      <c r="E195" s="249"/>
      <c r="F195" s="928"/>
      <c r="G195" s="269" t="s">
        <v>513</v>
      </c>
      <c r="H195" s="270"/>
      <c r="I195" s="270"/>
      <c r="J195" s="271"/>
      <c r="K195" s="623">
        <f>0.9*0.1*0.41</f>
        <v>3.6900000000000002E-2</v>
      </c>
      <c r="L195" s="249"/>
      <c r="M195" s="563"/>
      <c r="N195" s="1002" t="str">
        <f>IFERROR(IF(E195=FAAS!$B$81,I195,VLOOKUP(E195,FAAS!$K$113:$L$134,2,FALSE)),"")</f>
        <v/>
      </c>
      <c r="O195" s="1002" t="str">
        <f t="shared" si="6"/>
        <v/>
      </c>
      <c r="P195" s="1002">
        <f>IFERROR(IF(VLOOKUP(B195,'Dados gerais'!$D$33:$F$35,3,FALSE)="",VLOOKUP('Outras emissões de processo'!B195,'Fatores de Emissão'!$B$12:$E$14,3, FALSE),VLOOKUP(B195,'Dados gerais'!$D$33:$F$35,3,FALSE)),"")</f>
        <v>2.6666666666666665</v>
      </c>
      <c r="Q195" s="1002" t="str">
        <f t="shared" si="7"/>
        <v/>
      </c>
      <c r="R195" s="575">
        <f>IFERROR(IF(G195=FAAS!$K$135,'Outras emissões de processo'!I195,VLOOKUP(G195,FAAS!$B$63:$J$82,9,FALSE)),"")</f>
        <v>1.1954817405923699</v>
      </c>
      <c r="S195" s="575">
        <f t="shared" si="2"/>
        <v>4.4113276227858454E-2</v>
      </c>
      <c r="T195" s="575">
        <f t="shared" si="3"/>
        <v>0.1176354032742892</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62.4" outlineLevel="2" x14ac:dyDescent="0.3">
      <c r="B196" s="269" t="s">
        <v>37</v>
      </c>
      <c r="C196" s="962" t="s">
        <v>1641</v>
      </c>
      <c r="D196" s="250" t="s">
        <v>1189</v>
      </c>
      <c r="E196" s="249"/>
      <c r="F196" s="928"/>
      <c r="G196" s="269" t="s">
        <v>513</v>
      </c>
      <c r="H196" s="270"/>
      <c r="I196" s="270"/>
      <c r="J196" s="271"/>
      <c r="K196" s="623">
        <f>+K195+F194</f>
        <v>0.36899999999999999</v>
      </c>
      <c r="L196" s="249"/>
      <c r="M196" s="563"/>
      <c r="N196" s="1002" t="str">
        <f>IFERROR(IF(E196=FAAS!$B$81,I196,VLOOKUP(E196,FAAS!$K$113:$L$134,2,FALSE)),"")</f>
        <v/>
      </c>
      <c r="O196" s="1002" t="str">
        <f t="shared" si="6"/>
        <v/>
      </c>
      <c r="P196" s="1002">
        <f>IFERROR(IF(VLOOKUP(B196,'Dados gerais'!$D$33:$F$35,3,FALSE)="",VLOOKUP('Outras emissões de processo'!B196,'Fatores de Emissão'!$B$12:$E$14,3, FALSE),VLOOKUP(B196,'Dados gerais'!$D$33:$F$35,3,FALSE)),"")</f>
        <v>40</v>
      </c>
      <c r="Q196" s="1002" t="str">
        <f t="shared" si="7"/>
        <v/>
      </c>
      <c r="R196" s="575">
        <f>IFERROR(IF(G196=FAAS!$K$135,'Outras emissões de processo'!I196,VLOOKUP(G196,FAAS!$B$63:$J$82,9,FALSE)),"")</f>
        <v>1.1954817405923699</v>
      </c>
      <c r="S196" s="575">
        <f t="shared" si="2"/>
        <v>0.4411327622785845</v>
      </c>
      <c r="T196" s="575">
        <f t="shared" si="3"/>
        <v>17.64531049114338</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62.4" outlineLevel="2" x14ac:dyDescent="0.3">
      <c r="B197" s="269" t="s">
        <v>1077</v>
      </c>
      <c r="C197" s="962" t="s">
        <v>1641</v>
      </c>
      <c r="D197" s="250" t="s">
        <v>1188</v>
      </c>
      <c r="E197" s="249" t="s">
        <v>417</v>
      </c>
      <c r="F197" s="928">
        <f>0.9*0.9*0.001</f>
        <v>8.1000000000000006E-4</v>
      </c>
      <c r="G197" s="269"/>
      <c r="H197" s="270"/>
      <c r="I197" s="270"/>
      <c r="J197" s="271"/>
      <c r="K197" s="623"/>
      <c r="L197" s="249"/>
      <c r="M197" s="563"/>
      <c r="N197" s="1002">
        <f>IFERROR(IF(E197=FAAS!$B$81,I197,VLOOKUP(E197,FAAS!$K$113:$L$134,2,FALSE)),"")</f>
        <v>50.276203164029972</v>
      </c>
      <c r="O197" s="1002">
        <f t="shared" si="6"/>
        <v>4.0723724562864279E-2</v>
      </c>
      <c r="P197" s="1002">
        <f>IFERROR(IF(VLOOKUP(B197,'Dados gerais'!$D$33:$F$35,3,FALSE)="",VLOOKUP('Outras emissões de processo'!B197,'Fatores de Emissão'!$B$12:$E$14,3, FALSE),VLOOKUP(B197,'Dados gerais'!$D$33:$F$35,3,FALSE)),"")</f>
        <v>2.6666666666666665</v>
      </c>
      <c r="Q197" s="1002">
        <f t="shared" si="7"/>
        <v>1.5271396711074105E-2</v>
      </c>
      <c r="R197" s="575" t="str">
        <f>IFERROR(IF(G197=FAAS!$K$135,'Outras emissões de processo'!I197,VLOOKUP(G197,FAAS!$B$63:$J$82,9,FALSE)),"")</f>
        <v/>
      </c>
      <c r="S197" s="575" t="str">
        <f t="shared" si="2"/>
        <v/>
      </c>
      <c r="T197" s="575" t="str">
        <f t="shared" si="3"/>
        <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62.4" outlineLevel="2" x14ac:dyDescent="0.3">
      <c r="B198" s="269" t="s">
        <v>1077</v>
      </c>
      <c r="C198" s="962" t="s">
        <v>1641</v>
      </c>
      <c r="D198" s="250" t="s">
        <v>1189</v>
      </c>
      <c r="E198" s="249"/>
      <c r="F198" s="928"/>
      <c r="G198" s="269" t="s">
        <v>514</v>
      </c>
      <c r="H198" s="270"/>
      <c r="I198" s="270"/>
      <c r="J198" s="271"/>
      <c r="K198" s="623">
        <f>0.9*0.1*0.001</f>
        <v>9.0000000000000006E-5</v>
      </c>
      <c r="L198" s="249"/>
      <c r="M198" s="563"/>
      <c r="N198" s="1002" t="str">
        <f>IFERROR(IF(E198=FAAS!$B$81,I198,VLOOKUP(E198,FAAS!$K$113:$L$134,2,FALSE)),"")</f>
        <v/>
      </c>
      <c r="O198" s="1002" t="str">
        <f t="shared" si="6"/>
        <v/>
      </c>
      <c r="P198" s="1002">
        <f>IFERROR(IF(VLOOKUP(B198,'Dados gerais'!$D$33:$F$35,3,FALSE)="",VLOOKUP('Outras emissões de processo'!B198,'Fatores de Emissão'!$B$12:$E$14,3, FALSE),VLOOKUP(B198,'Dados gerais'!$D$33:$F$35,3,FALSE)),"")</f>
        <v>2.6666666666666665</v>
      </c>
      <c r="Q198" s="1002" t="str">
        <f t="shared" si="7"/>
        <v/>
      </c>
      <c r="R198" s="575">
        <f>IFERROR(IF(G198=FAAS!$K$135,'Outras emissões de processo'!I198,VLOOKUP(G198,FAAS!$B$63:$J$82,9,FALSE)),"")</f>
        <v>1.2185896286427975</v>
      </c>
      <c r="S198" s="575">
        <f t="shared" si="2"/>
        <v>1.0967306657785178E-4</v>
      </c>
      <c r="T198" s="575">
        <f t="shared" si="3"/>
        <v>2.9246151087427143E-4</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62.4" outlineLevel="2" x14ac:dyDescent="0.3">
      <c r="B199" s="269" t="s">
        <v>37</v>
      </c>
      <c r="C199" s="962" t="s">
        <v>1641</v>
      </c>
      <c r="D199" s="250" t="s">
        <v>1189</v>
      </c>
      <c r="E199" s="249"/>
      <c r="F199" s="928"/>
      <c r="G199" s="269" t="s">
        <v>514</v>
      </c>
      <c r="H199" s="270"/>
      <c r="I199" s="270"/>
      <c r="J199" s="271"/>
      <c r="K199" s="623">
        <f>+K198+F197</f>
        <v>9.0000000000000008E-4</v>
      </c>
      <c r="L199" s="249"/>
      <c r="M199" s="563"/>
      <c r="N199" s="1002" t="str">
        <f>IFERROR(IF(E199=FAAS!$B$81,I199,VLOOKUP(E199,FAAS!$K$113:$L$134,2,FALSE)),"")</f>
        <v/>
      </c>
      <c r="O199" s="1002" t="str">
        <f t="shared" si="6"/>
        <v/>
      </c>
      <c r="P199" s="1002">
        <f>IFERROR(IF(VLOOKUP(B199,'Dados gerais'!$D$33:$F$35,3,FALSE)="",VLOOKUP('Outras emissões de processo'!B199,'Fatores de Emissão'!$B$12:$E$14,3, FALSE),VLOOKUP(B199,'Dados gerais'!$D$33:$F$35,3,FALSE)),"")</f>
        <v>40</v>
      </c>
      <c r="Q199" s="1002" t="str">
        <f t="shared" si="7"/>
        <v/>
      </c>
      <c r="R199" s="575">
        <f>IFERROR(IF(G199=FAAS!$K$135,'Outras emissões de processo'!I199,VLOOKUP(G199,FAAS!$B$63:$J$82,9,FALSE)),"")</f>
        <v>1.2185896286427975</v>
      </c>
      <c r="S199" s="575">
        <f t="shared" si="2"/>
        <v>1.0967306657785178E-3</v>
      </c>
      <c r="T199" s="575">
        <f t="shared" si="3"/>
        <v>4.3869226631140713E-2</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46.8" outlineLevel="2" x14ac:dyDescent="0.3">
      <c r="B200" s="269" t="s">
        <v>1077</v>
      </c>
      <c r="C200" s="962" t="s">
        <v>1642</v>
      </c>
      <c r="D200" s="250" t="s">
        <v>1188</v>
      </c>
      <c r="E200" s="249" t="s">
        <v>417</v>
      </c>
      <c r="F200" s="928">
        <f>0.9*0.9*0.011</f>
        <v>8.9099999999999995E-3</v>
      </c>
      <c r="G200" s="269"/>
      <c r="H200" s="270"/>
      <c r="I200" s="270"/>
      <c r="J200" s="271"/>
      <c r="K200" s="623"/>
      <c r="L200" s="249"/>
      <c r="M200" s="563"/>
      <c r="N200" s="1002">
        <f>IFERROR(IF(E200=FAAS!$B$81,I200,VLOOKUP(E200,FAAS!$K$113:$L$134,2,FALSE)),"")</f>
        <v>50.276203164029972</v>
      </c>
      <c r="O200" s="1002">
        <f t="shared" si="6"/>
        <v>0.44796097019150705</v>
      </c>
      <c r="P200" s="1002">
        <f>IFERROR(IF(VLOOKUP(B200,'Dados gerais'!$D$33:$F$35,3,FALSE)="",VLOOKUP('Outras emissões de processo'!B200,'Fatores de Emissão'!$B$12:$E$14,3, FALSE),VLOOKUP(B200,'Dados gerais'!$D$33:$F$35,3,FALSE)),"")</f>
        <v>2.6666666666666665</v>
      </c>
      <c r="Q200" s="1002">
        <f t="shared" si="7"/>
        <v>0.16798536382181514</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46.8" outlineLevel="2" x14ac:dyDescent="0.3">
      <c r="B201" s="269" t="s">
        <v>1077</v>
      </c>
      <c r="C201" s="962" t="s">
        <v>1642</v>
      </c>
      <c r="D201" s="250" t="s">
        <v>1188</v>
      </c>
      <c r="E201" s="249" t="s">
        <v>513</v>
      </c>
      <c r="F201" s="928">
        <f>0.9*0.1*0.011</f>
        <v>9.8999999999999999E-4</v>
      </c>
      <c r="G201" s="269"/>
      <c r="H201" s="270"/>
      <c r="I201" s="270"/>
      <c r="J201" s="271"/>
      <c r="K201" s="623"/>
      <c r="L201" s="249"/>
      <c r="M201" s="563"/>
      <c r="N201" s="1002">
        <f>IFERROR(IF(E201=FAAS!$B$81,I201,VLOOKUP(E201,FAAS!$K$113:$L$134,2,FALSE)),"")</f>
        <v>79</v>
      </c>
      <c r="O201" s="1002">
        <f t="shared" si="6"/>
        <v>7.8210000000000002E-2</v>
      </c>
      <c r="P201" s="1002">
        <f>IFERROR(IF(VLOOKUP(B201,'Dados gerais'!$D$33:$F$35,3,FALSE)="",VLOOKUP('Outras emissões de processo'!B201,'Fatores de Emissão'!$B$12:$E$14,3, FALSE),VLOOKUP(B201,'Dados gerais'!$D$33:$F$35,3,FALSE)),"")</f>
        <v>2.6666666666666665</v>
      </c>
      <c r="Q201" s="1002">
        <f t="shared" si="7"/>
        <v>2.9328750000000001E-2</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46.8" outlineLevel="2" x14ac:dyDescent="0.3">
      <c r="B202" s="269" t="s">
        <v>1077</v>
      </c>
      <c r="C202" s="962" t="s">
        <v>1643</v>
      </c>
      <c r="D202" s="250" t="s">
        <v>1188</v>
      </c>
      <c r="E202" s="249" t="s">
        <v>513</v>
      </c>
      <c r="F202" s="928">
        <f>0.9*0.1*3.167</f>
        <v>0.28503000000000001</v>
      </c>
      <c r="G202" s="269"/>
      <c r="H202" s="270"/>
      <c r="I202" s="270"/>
      <c r="J202" s="271"/>
      <c r="K202" s="623"/>
      <c r="L202" s="249"/>
      <c r="M202" s="563"/>
      <c r="N202" s="1002">
        <f>IFERROR(IF(E202=FAAS!$B$81,I202,VLOOKUP(E202,FAAS!$K$113:$L$134,2,FALSE)),"")</f>
        <v>79</v>
      </c>
      <c r="O202" s="1002">
        <f t="shared" si="6"/>
        <v>22.51737</v>
      </c>
      <c r="P202" s="1002">
        <f>IFERROR(IF(VLOOKUP(B202,'Dados gerais'!$D$33:$F$35,3,FALSE)="",VLOOKUP('Outras emissões de processo'!B202,'Fatores de Emissão'!$B$12:$E$14,3, FALSE),VLOOKUP(B202,'Dados gerais'!$D$33:$F$35,3,FALSE)),"")</f>
        <v>2.6666666666666665</v>
      </c>
      <c r="Q202" s="1002">
        <f t="shared" si="7"/>
        <v>8.4440137499999999</v>
      </c>
      <c r="R202" s="575" t="str">
        <f>IFERROR(IF(G202=FAAS!$K$135,'Outras emissões de processo'!I202,VLOOKUP(G202,FAAS!$B$63:$J$82,9,FALSE)),"")</f>
        <v/>
      </c>
      <c r="S202" s="575" t="str">
        <f t="shared" si="2"/>
        <v/>
      </c>
      <c r="T202" s="575" t="str">
        <f t="shared" si="3"/>
        <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46.8" outlineLevel="2" x14ac:dyDescent="0.3">
      <c r="B203" s="269" t="s">
        <v>1077</v>
      </c>
      <c r="C203" s="962" t="s">
        <v>1643</v>
      </c>
      <c r="D203" s="250" t="s">
        <v>1188</v>
      </c>
      <c r="E203" s="249" t="s">
        <v>417</v>
      </c>
      <c r="F203" s="928">
        <f>0.9*0.9*3.167</f>
        <v>2.5652699999999999</v>
      </c>
      <c r="G203" s="269"/>
      <c r="H203" s="270"/>
      <c r="I203" s="270"/>
      <c r="J203" s="271"/>
      <c r="K203" s="623"/>
      <c r="L203" s="249"/>
      <c r="M203" s="563"/>
      <c r="N203" s="1002">
        <f>IFERROR(IF(E203=FAAS!$B$81,I203,VLOOKUP(E203,FAAS!$K$113:$L$134,2,FALSE)),"")</f>
        <v>50.276203164029972</v>
      </c>
      <c r="O203" s="1002">
        <f t="shared" si="6"/>
        <v>128.97203569059116</v>
      </c>
      <c r="P203" s="1002">
        <f>IFERROR(IF(VLOOKUP(B203,'Dados gerais'!$D$33:$F$35,3,FALSE)="",VLOOKUP('Outras emissões de processo'!B203,'Fatores de Emissão'!$B$12:$E$14,3, FALSE),VLOOKUP(B203,'Dados gerais'!$D$33:$F$35,3,FALSE)),"")</f>
        <v>2.6666666666666665</v>
      </c>
      <c r="Q203" s="1002">
        <f t="shared" si="7"/>
        <v>48.364513383971683</v>
      </c>
      <c r="R203" s="575" t="str">
        <f>IFERROR(IF(G203=FAAS!$K$135,'Outras emissões de processo'!I203,VLOOKUP(G203,FAAS!$B$63:$J$82,9,FALSE)),"")</f>
        <v/>
      </c>
      <c r="S203" s="575" t="str">
        <f t="shared" si="2"/>
        <v/>
      </c>
      <c r="T203" s="575" t="str">
        <f t="shared" si="3"/>
        <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46.8" outlineLevel="2" x14ac:dyDescent="0.3">
      <c r="B204" s="269" t="s">
        <v>37</v>
      </c>
      <c r="C204" s="962" t="s">
        <v>1643</v>
      </c>
      <c r="D204" s="250" t="s">
        <v>1189</v>
      </c>
      <c r="E204" s="249"/>
      <c r="F204" s="928"/>
      <c r="G204" s="269" t="s">
        <v>428</v>
      </c>
      <c r="H204" s="270"/>
      <c r="I204" s="270"/>
      <c r="J204" s="271"/>
      <c r="K204" s="623">
        <f>0.9*0.6*3.167</f>
        <v>1.71018</v>
      </c>
      <c r="L204" s="249"/>
      <c r="M204" s="563"/>
      <c r="N204" s="1002" t="str">
        <f>IFERROR(IF(E204=FAAS!$B$81,I204,VLOOKUP(E204,FAAS!$K$113:$L$134,2,FALSE)),"")</f>
        <v/>
      </c>
      <c r="O204" s="1002" t="str">
        <f t="shared" si="6"/>
        <v/>
      </c>
      <c r="P204" s="1002">
        <f>IFERROR(IF(VLOOKUP(B204,'Dados gerais'!$D$33:$F$35,3,FALSE)="",VLOOKUP('Outras emissões de processo'!B204,'Fatores de Emissão'!$B$12:$E$14,3, FALSE),VLOOKUP(B204,'Dados gerais'!$D$33:$F$35,3,FALSE)),"")</f>
        <v>40</v>
      </c>
      <c r="Q204" s="1002" t="str">
        <f t="shared" si="7"/>
        <v/>
      </c>
      <c r="R204" s="575">
        <f>IFERROR(IF(G204=FAAS!$K$135,'Outras emissões de processo'!I204,VLOOKUP(G204,FAAS!$B$63:$J$82,9,FALSE)),"")</f>
        <v>11.60148103530746</v>
      </c>
      <c r="S204" s="575">
        <f t="shared" si="2"/>
        <v>19.840620836962113</v>
      </c>
      <c r="T204" s="575">
        <f t="shared" si="3"/>
        <v>793.62483347848456</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46.8" outlineLevel="2" x14ac:dyDescent="0.3">
      <c r="B205" s="269" t="s">
        <v>37</v>
      </c>
      <c r="C205" s="962" t="s">
        <v>1643</v>
      </c>
      <c r="D205" s="250" t="s">
        <v>1189</v>
      </c>
      <c r="E205" s="249"/>
      <c r="F205" s="928"/>
      <c r="G205" s="269" t="s">
        <v>417</v>
      </c>
      <c r="H205" s="270"/>
      <c r="I205" s="270"/>
      <c r="J205" s="271"/>
      <c r="K205" s="623">
        <f>0.9*0.4*3.167</f>
        <v>1.14012</v>
      </c>
      <c r="L205" s="249"/>
      <c r="M205" s="563"/>
      <c r="N205" s="1002" t="str">
        <f>IFERROR(IF(E205=FAAS!$B$81,I205,VLOOKUP(E205,FAAS!$K$113:$L$134,2,FALSE)),"")</f>
        <v/>
      </c>
      <c r="O205" s="1002" t="str">
        <f t="shared" si="6"/>
        <v/>
      </c>
      <c r="P205" s="1002">
        <f>IFERROR(IF(VLOOKUP(B205,'Dados gerais'!$D$33:$F$35,3,FALSE)="",VLOOKUP('Outras emissões de processo'!B205,'Fatores de Emissão'!$B$12:$E$14,3, FALSE),VLOOKUP(B205,'Dados gerais'!$D$33:$F$35,3,FALSE)),"")</f>
        <v>40</v>
      </c>
      <c r="Q205" s="1002" t="str">
        <f t="shared" si="7"/>
        <v/>
      </c>
      <c r="R205" s="575">
        <f>IFERROR(IF(G205=FAAS!$K$135,'Outras emissões de processo'!I205,VLOOKUP(G205,FAAS!$B$63:$J$82,9,FALSE)),"")</f>
        <v>1.8574378358867605</v>
      </c>
      <c r="S205" s="575">
        <f t="shared" si="2"/>
        <v>2.1177020254512136</v>
      </c>
      <c r="T205" s="575">
        <f t="shared" si="3"/>
        <v>84.708081018048546</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46.8" outlineLevel="2" x14ac:dyDescent="0.3">
      <c r="B206" s="269" t="s">
        <v>1077</v>
      </c>
      <c r="C206" s="962" t="s">
        <v>1644</v>
      </c>
      <c r="D206" s="250" t="s">
        <v>1188</v>
      </c>
      <c r="E206" s="249" t="s">
        <v>513</v>
      </c>
      <c r="F206" s="928">
        <v>0.27100000000000002</v>
      </c>
      <c r="G206" s="269"/>
      <c r="H206" s="270"/>
      <c r="I206" s="270"/>
      <c r="J206" s="271"/>
      <c r="K206" s="623"/>
      <c r="L206" s="249"/>
      <c r="M206" s="563"/>
      <c r="N206" s="1002">
        <f>IFERROR(IF(E206=FAAS!$B$81,I206,VLOOKUP(E206,FAAS!$K$113:$L$134,2,FALSE)),"")</f>
        <v>79</v>
      </c>
      <c r="O206" s="1002">
        <f t="shared" si="6"/>
        <v>21.409000000000002</v>
      </c>
      <c r="P206" s="1002">
        <f>IFERROR(IF(VLOOKUP(B206,'Dados gerais'!$D$33:$F$35,3,FALSE)="",VLOOKUP('Outras emissões de processo'!B206,'Fatores de Emissão'!$B$12:$E$14,3, FALSE),VLOOKUP(B206,'Dados gerais'!$D$33:$F$35,3,FALSE)),"")</f>
        <v>2.6666666666666665</v>
      </c>
      <c r="Q206" s="1002">
        <f t="shared" si="7"/>
        <v>8.0283750000000023</v>
      </c>
      <c r="R206" s="575" t="str">
        <f>IFERROR(IF(G206=FAAS!$K$135,'Outras emissões de processo'!I206,VLOOKUP(G206,FAAS!$B$63:$J$82,9,FALSE)),"")</f>
        <v/>
      </c>
      <c r="S206" s="575" t="str">
        <f t="shared" si="2"/>
        <v/>
      </c>
      <c r="T206" s="575" t="str">
        <f t="shared" si="3"/>
        <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46.8" outlineLevel="2" x14ac:dyDescent="0.3">
      <c r="B207" s="269" t="s">
        <v>1077</v>
      </c>
      <c r="C207" s="962" t="s">
        <v>1645</v>
      </c>
      <c r="D207" s="250" t="s">
        <v>1188</v>
      </c>
      <c r="E207" s="249" t="s">
        <v>513</v>
      </c>
      <c r="F207" s="928">
        <v>17.646000000000001</v>
      </c>
      <c r="G207" s="269"/>
      <c r="H207" s="270"/>
      <c r="I207" s="270"/>
      <c r="J207" s="271"/>
      <c r="K207" s="623"/>
      <c r="L207" s="249"/>
      <c r="M207" s="563"/>
      <c r="N207" s="1002">
        <f>IFERROR(IF(E207=FAAS!$B$81,I207,VLOOKUP(E207,FAAS!$K$113:$L$134,2,FALSE)),"")</f>
        <v>79</v>
      </c>
      <c r="O207" s="1002">
        <f t="shared" si="6"/>
        <v>1394.0340000000001</v>
      </c>
      <c r="P207" s="1002">
        <f>IFERROR(IF(VLOOKUP(B207,'Dados gerais'!$D$33:$F$35,3,FALSE)="",VLOOKUP('Outras emissões de processo'!B207,'Fatores de Emissão'!$B$12:$E$14,3, FALSE),VLOOKUP(B207,'Dados gerais'!$D$33:$F$35,3,FALSE)),"")</f>
        <v>2.6666666666666665</v>
      </c>
      <c r="Q207" s="1002">
        <f t="shared" si="7"/>
        <v>522.7627500000001</v>
      </c>
      <c r="R207" s="575" t="str">
        <f>IFERROR(IF(G207=FAAS!$K$135,'Outras emissões de processo'!I207,VLOOKUP(G207,FAAS!$B$63:$J$82,9,FALSE)),"")</f>
        <v/>
      </c>
      <c r="S207" s="575" t="str">
        <f t="shared" si="2"/>
        <v/>
      </c>
      <c r="T207" s="575" t="str">
        <f t="shared" si="3"/>
        <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46.8" outlineLevel="2" x14ac:dyDescent="0.3">
      <c r="B208" s="269" t="s">
        <v>37</v>
      </c>
      <c r="C208" s="962" t="s">
        <v>1645</v>
      </c>
      <c r="D208" s="250" t="s">
        <v>1189</v>
      </c>
      <c r="E208" s="249"/>
      <c r="F208" s="928"/>
      <c r="G208" s="269" t="s">
        <v>414</v>
      </c>
      <c r="H208" s="270"/>
      <c r="I208" s="270"/>
      <c r="J208" s="271"/>
      <c r="K208" s="623">
        <f>+F207</f>
        <v>17.646000000000001</v>
      </c>
      <c r="L208" s="249"/>
      <c r="M208" s="563"/>
      <c r="N208" s="1002" t="str">
        <f>IFERROR(IF(E208=FAAS!$B$81,I208,VLOOKUP(E208,FAAS!$K$113:$L$134,2,FALSE)),"")</f>
        <v/>
      </c>
      <c r="O208" s="1002" t="str">
        <f t="shared" si="6"/>
        <v/>
      </c>
      <c r="P208" s="1002">
        <f>IFERROR(IF(VLOOKUP(B208,'Dados gerais'!$D$33:$F$35,3,FALSE)="",VLOOKUP('Outras emissões de processo'!B208,'Fatores de Emissão'!$B$12:$E$14,3, FALSE),VLOOKUP(B208,'Dados gerais'!$D$33:$F$35,3,FALSE)),"")</f>
        <v>40</v>
      </c>
      <c r="Q208" s="1002" t="str">
        <f t="shared" si="7"/>
        <v/>
      </c>
      <c r="R208" s="575">
        <f>IFERROR(IF(G208=FAAS!$K$135,'Outras emissões de processo'!I208,VLOOKUP(G208,FAAS!$B$63:$J$82,9,FALSE)),"")</f>
        <v>7.0332457953372192</v>
      </c>
      <c r="S208" s="575">
        <f t="shared" si="2"/>
        <v>124.10865530452058</v>
      </c>
      <c r="T208" s="575">
        <f t="shared" si="3"/>
        <v>4964.3462121808234</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46.8" outlineLevel="2" x14ac:dyDescent="0.3">
      <c r="B209" s="269" t="s">
        <v>1077</v>
      </c>
      <c r="C209" s="962" t="s">
        <v>1646</v>
      </c>
      <c r="D209" s="250" t="s">
        <v>1189</v>
      </c>
      <c r="E209" s="249"/>
      <c r="F209" s="928"/>
      <c r="G209" s="269" t="s">
        <v>513</v>
      </c>
      <c r="H209" s="270"/>
      <c r="I209" s="270"/>
      <c r="J209" s="271"/>
      <c r="K209" s="623">
        <f>1.184+0.6+0.006+27.548+0.006+0.141+0.104</f>
        <v>29.588999999999995</v>
      </c>
      <c r="L209" s="249"/>
      <c r="M209" s="563"/>
      <c r="N209" s="1002" t="str">
        <f>IFERROR(IF(E209=FAAS!$B$81,I209,VLOOKUP(E209,FAAS!$K$113:$L$134,2,FALSE)),"")</f>
        <v/>
      </c>
      <c r="O209" s="1002" t="str">
        <f t="shared" si="6"/>
        <v/>
      </c>
      <c r="P209" s="1002">
        <f>IFERROR(IF(VLOOKUP(B209,'Dados gerais'!$D$33:$F$35,3,FALSE)="",VLOOKUP('Outras emissões de processo'!B209,'Fatores de Emissão'!$B$12:$E$14,3, FALSE),VLOOKUP(B209,'Dados gerais'!$D$33:$F$35,3,FALSE)),"")</f>
        <v>2.6666666666666665</v>
      </c>
      <c r="Q209" s="1002" t="str">
        <f t="shared" si="7"/>
        <v/>
      </c>
      <c r="R209" s="575">
        <f>IFERROR(IF(G209=FAAS!$K$135,'Outras emissões de processo'!I209,VLOOKUP(G209,FAAS!$B$63:$J$82,9,FALSE)),"")</f>
        <v>1.1954817405923699</v>
      </c>
      <c r="S209" s="575">
        <f t="shared" si="2"/>
        <v>35.373109222387626</v>
      </c>
      <c r="T209" s="575">
        <f t="shared" si="3"/>
        <v>94.328291259700336</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31.2" outlineLevel="2" x14ac:dyDescent="0.3">
      <c r="B210" s="269" t="s">
        <v>37</v>
      </c>
      <c r="C210" s="962" t="s">
        <v>1646</v>
      </c>
      <c r="D210" s="250" t="s">
        <v>1189</v>
      </c>
      <c r="E210" s="249"/>
      <c r="F210" s="928"/>
      <c r="G210" s="269" t="s">
        <v>513</v>
      </c>
      <c r="H210" s="270"/>
      <c r="I210" s="270"/>
      <c r="J210" s="271"/>
      <c r="K210" s="623">
        <f>+K209</f>
        <v>29.588999999999995</v>
      </c>
      <c r="L210" s="249"/>
      <c r="M210" s="563"/>
      <c r="N210" s="1002" t="str">
        <f>IFERROR(IF(E210=FAAS!$B$81,I210,VLOOKUP(E210,FAAS!$K$113:$L$134,2,FALSE)),"")</f>
        <v/>
      </c>
      <c r="O210" s="1002" t="str">
        <f t="shared" si="6"/>
        <v/>
      </c>
      <c r="P210" s="1002">
        <f>IFERROR(IF(VLOOKUP(B210,'Dados gerais'!$D$33:$F$35,3,FALSE)="",VLOOKUP('Outras emissões de processo'!B210,'Fatores de Emissão'!$B$12:$E$14,3, FALSE),VLOOKUP(B210,'Dados gerais'!$D$33:$F$35,3,FALSE)),"")</f>
        <v>40</v>
      </c>
      <c r="Q210" s="1002" t="str">
        <f t="shared" si="7"/>
        <v/>
      </c>
      <c r="R210" s="575">
        <f>IFERROR(IF(G210=FAAS!$K$135,'Outras emissões de processo'!I210,VLOOKUP(G210,FAAS!$B$63:$J$82,9,FALSE)),"")</f>
        <v>1.1954817405923699</v>
      </c>
      <c r="S210" s="575">
        <f t="shared" si="2"/>
        <v>35.373109222387626</v>
      </c>
      <c r="T210" s="575">
        <f t="shared" si="3"/>
        <v>1414.924368895505</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46.8" outlineLevel="2" x14ac:dyDescent="0.3">
      <c r="B211" s="269" t="s">
        <v>1077</v>
      </c>
      <c r="C211" s="962" t="s">
        <v>1647</v>
      </c>
      <c r="D211" s="250" t="s">
        <v>1188</v>
      </c>
      <c r="E211" s="249" t="s">
        <v>513</v>
      </c>
      <c r="F211" s="928">
        <v>3.0000000000000001E-3</v>
      </c>
      <c r="G211" s="269"/>
      <c r="H211" s="270"/>
      <c r="I211" s="270"/>
      <c r="J211" s="271"/>
      <c r="K211" s="623"/>
      <c r="L211" s="249"/>
      <c r="M211" s="563"/>
      <c r="N211" s="1002">
        <f>IFERROR(IF(E211=FAAS!$B$81,I211,VLOOKUP(E211,FAAS!$K$113:$L$134,2,FALSE)),"")</f>
        <v>79</v>
      </c>
      <c r="O211" s="1002">
        <f t="shared" si="6"/>
        <v>0.23700000000000002</v>
      </c>
      <c r="P211" s="1002">
        <f>IFERROR(IF(VLOOKUP(B211,'Dados gerais'!$D$33:$F$35,3,FALSE)="",VLOOKUP('Outras emissões de processo'!B211,'Fatores de Emissão'!$B$12:$E$14,3, FALSE),VLOOKUP(B211,'Dados gerais'!$D$33:$F$35,3,FALSE)),"")</f>
        <v>2.6666666666666665</v>
      </c>
      <c r="Q211" s="1002">
        <f t="shared" si="7"/>
        <v>8.887500000000001E-2</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46.8" outlineLevel="2" x14ac:dyDescent="0.3">
      <c r="B212" s="269" t="s">
        <v>1077</v>
      </c>
      <c r="C212" s="962" t="s">
        <v>1648</v>
      </c>
      <c r="D212" s="250" t="s">
        <v>1188</v>
      </c>
      <c r="E212" s="249" t="s">
        <v>513</v>
      </c>
      <c r="F212" s="928">
        <v>0.11</v>
      </c>
      <c r="G212" s="269"/>
      <c r="H212" s="270"/>
      <c r="I212" s="270"/>
      <c r="J212" s="271"/>
      <c r="K212" s="623"/>
      <c r="L212" s="249"/>
      <c r="M212" s="563"/>
      <c r="N212" s="1002">
        <f>IFERROR(IF(E212=FAAS!$B$81,I212,VLOOKUP(E212,FAAS!$K$113:$L$134,2,FALSE)),"")</f>
        <v>79</v>
      </c>
      <c r="O212" s="1002">
        <f t="shared" si="6"/>
        <v>8.69</v>
      </c>
      <c r="P212" s="1002">
        <f>IFERROR(IF(VLOOKUP(B212,'Dados gerais'!$D$33:$F$35,3,FALSE)="",VLOOKUP('Outras emissões de processo'!B212,'Fatores de Emissão'!$B$12:$E$14,3, FALSE),VLOOKUP(B212,'Dados gerais'!$D$33:$F$35,3,FALSE)),"")</f>
        <v>2.6666666666666665</v>
      </c>
      <c r="Q212" s="1002">
        <f t="shared" si="7"/>
        <v>3.25875</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46.8" outlineLevel="2" x14ac:dyDescent="0.3">
      <c r="B213" s="269" t="s">
        <v>37</v>
      </c>
      <c r="C213" s="962" t="s">
        <v>1648</v>
      </c>
      <c r="D213" s="250" t="s">
        <v>1189</v>
      </c>
      <c r="E213" s="249"/>
      <c r="F213" s="928"/>
      <c r="G213" s="269" t="s">
        <v>428</v>
      </c>
      <c r="H213" s="270"/>
      <c r="I213" s="270"/>
      <c r="J213" s="271"/>
      <c r="K213" s="623">
        <f>0.6*F212</f>
        <v>6.6000000000000003E-2</v>
      </c>
      <c r="L213" s="249"/>
      <c r="M213" s="563"/>
      <c r="N213" s="1002" t="str">
        <f>IFERROR(IF(E213=FAAS!$B$81,I213,VLOOKUP(E213,FAAS!$K$113:$L$134,2,FALSE)),"")</f>
        <v/>
      </c>
      <c r="O213" s="1002" t="str">
        <f t="shared" si="6"/>
        <v/>
      </c>
      <c r="P213" s="1002">
        <f>IFERROR(IF(VLOOKUP(B213,'Dados gerais'!$D$33:$F$35,3,FALSE)="",VLOOKUP('Outras emissões de processo'!B213,'Fatores de Emissão'!$B$12:$E$14,3, FALSE),VLOOKUP(B213,'Dados gerais'!$D$33:$F$35,3,FALSE)),"")</f>
        <v>40</v>
      </c>
      <c r="Q213" s="1002" t="str">
        <f t="shared" si="7"/>
        <v/>
      </c>
      <c r="R213" s="575">
        <f>IFERROR(IF(G213=FAAS!$K$135,'Outras emissões de processo'!I213,VLOOKUP(G213,FAAS!$B$63:$J$82,9,FALSE)),"")</f>
        <v>11.60148103530746</v>
      </c>
      <c r="S213" s="575">
        <f t="shared" si="2"/>
        <v>0.76569774833029236</v>
      </c>
      <c r="T213" s="575">
        <f t="shared" si="3"/>
        <v>30.627909933211694</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46.8" outlineLevel="2" x14ac:dyDescent="0.3">
      <c r="B214" s="269" t="s">
        <v>37</v>
      </c>
      <c r="C214" s="962" t="s">
        <v>1648</v>
      </c>
      <c r="D214" s="250" t="s">
        <v>1189</v>
      </c>
      <c r="E214" s="249"/>
      <c r="F214" s="928"/>
      <c r="G214" s="269" t="s">
        <v>417</v>
      </c>
      <c r="H214" s="270"/>
      <c r="I214" s="270"/>
      <c r="J214" s="271"/>
      <c r="K214" s="623">
        <f>0.4*F212</f>
        <v>4.4000000000000004E-2</v>
      </c>
      <c r="L214" s="249"/>
      <c r="M214" s="563"/>
      <c r="N214" s="1002" t="str">
        <f>IFERROR(IF(E214=FAAS!$B$81,I214,VLOOKUP(E214,FAAS!$K$113:$L$134,2,FALSE)),"")</f>
        <v/>
      </c>
      <c r="O214" s="1002" t="str">
        <f t="shared" si="6"/>
        <v/>
      </c>
      <c r="P214" s="1002">
        <f>IFERROR(IF(VLOOKUP(B214,'Dados gerais'!$D$33:$F$35,3,FALSE)="",VLOOKUP('Outras emissões de processo'!B214,'Fatores de Emissão'!$B$12:$E$14,3, FALSE),VLOOKUP(B214,'Dados gerais'!$D$33:$F$35,3,FALSE)),"")</f>
        <v>40</v>
      </c>
      <c r="Q214" s="1002" t="str">
        <f t="shared" si="7"/>
        <v/>
      </c>
      <c r="R214" s="575">
        <f>IFERROR(IF(G214=FAAS!$K$135,'Outras emissões de processo'!I214,VLOOKUP(G214,FAAS!$B$63:$J$82,9,FALSE)),"")</f>
        <v>1.8574378358867605</v>
      </c>
      <c r="S214" s="575">
        <f t="shared" si="2"/>
        <v>8.1727264779017469E-2</v>
      </c>
      <c r="T214" s="575">
        <f t="shared" si="3"/>
        <v>3.2690905911606989</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46.8" outlineLevel="2" x14ac:dyDescent="0.3">
      <c r="B215" s="269" t="s">
        <v>1077</v>
      </c>
      <c r="C215" s="962" t="s">
        <v>1649</v>
      </c>
      <c r="D215" s="250" t="s">
        <v>1188</v>
      </c>
      <c r="E215" s="249" t="s">
        <v>513</v>
      </c>
      <c r="F215" s="928">
        <v>3.6999999999999998E-2</v>
      </c>
      <c r="G215" s="269"/>
      <c r="H215" s="270"/>
      <c r="I215" s="270"/>
      <c r="J215" s="271"/>
      <c r="K215" s="623"/>
      <c r="L215" s="249"/>
      <c r="M215" s="563"/>
      <c r="N215" s="1002">
        <f>IFERROR(IF(E215=FAAS!$B$81,I215,VLOOKUP(E215,FAAS!$K$113:$L$134,2,FALSE)),"")</f>
        <v>79</v>
      </c>
      <c r="O215" s="1002">
        <f t="shared" si="6"/>
        <v>2.923</v>
      </c>
      <c r="P215" s="1002">
        <f>IFERROR(IF(VLOOKUP(B215,'Dados gerais'!$D$33:$F$35,3,FALSE)="",VLOOKUP('Outras emissões de processo'!B215,'Fatores de Emissão'!$B$12:$E$14,3, FALSE),VLOOKUP(B215,'Dados gerais'!$D$33:$F$35,3,FALSE)),"")</f>
        <v>2.6666666666666665</v>
      </c>
      <c r="Q215" s="1002">
        <f t="shared" si="7"/>
        <v>1.096125</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46.8" outlineLevel="2" x14ac:dyDescent="0.3">
      <c r="B216" s="269" t="s">
        <v>1077</v>
      </c>
      <c r="C216" s="962" t="s">
        <v>1650</v>
      </c>
      <c r="D216" s="250" t="s">
        <v>1189</v>
      </c>
      <c r="E216" s="249"/>
      <c r="F216" s="928"/>
      <c r="G216" s="269" t="s">
        <v>513</v>
      </c>
      <c r="H216" s="270"/>
      <c r="I216" s="270"/>
      <c r="J216" s="271"/>
      <c r="K216" s="623">
        <f>0.9*1.019</f>
        <v>0.91709999999999992</v>
      </c>
      <c r="L216" s="249"/>
      <c r="M216" s="563"/>
      <c r="N216" s="1002" t="str">
        <f>IFERROR(IF(E216=FAAS!$B$81,I216,VLOOKUP(E216,FAAS!$K$113:$L$134,2,FALSE)),"")</f>
        <v/>
      </c>
      <c r="O216" s="1002" t="str">
        <f t="shared" si="6"/>
        <v/>
      </c>
      <c r="P216" s="1002">
        <f>IFERROR(IF(VLOOKUP(B216,'Dados gerais'!$D$33:$F$35,3,FALSE)="",VLOOKUP('Outras emissões de processo'!B216,'Fatores de Emissão'!$B$12:$E$14,3, FALSE),VLOOKUP(B216,'Dados gerais'!$D$33:$F$35,3,FALSE)),"")</f>
        <v>2.6666666666666665</v>
      </c>
      <c r="Q216" s="1002" t="str">
        <f t="shared" si="7"/>
        <v/>
      </c>
      <c r="R216" s="575">
        <f>IFERROR(IF(G216=FAAS!$K$135,'Outras emissões de processo'!I216,VLOOKUP(G216,FAAS!$B$63:$J$82,9,FALSE)),"")</f>
        <v>1.1954817405923699</v>
      </c>
      <c r="S216" s="575">
        <f t="shared" si="2"/>
        <v>1.0963763042972623</v>
      </c>
      <c r="T216" s="575">
        <f t="shared" si="3"/>
        <v>2.9236701447926992</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46.8" outlineLevel="2" x14ac:dyDescent="0.3">
      <c r="B217" s="269" t="s">
        <v>37</v>
      </c>
      <c r="C217" s="962" t="s">
        <v>1650</v>
      </c>
      <c r="D217" s="250" t="s">
        <v>1189</v>
      </c>
      <c r="E217" s="249"/>
      <c r="F217" s="928"/>
      <c r="G217" s="269" t="s">
        <v>513</v>
      </c>
      <c r="H217" s="270"/>
      <c r="I217" s="270"/>
      <c r="J217" s="271"/>
      <c r="K217" s="623">
        <f>+K216</f>
        <v>0.91709999999999992</v>
      </c>
      <c r="L217" s="249"/>
      <c r="M217" s="563"/>
      <c r="N217" s="1002" t="str">
        <f>IFERROR(IF(E217=FAAS!$B$81,I217,VLOOKUP(E217,FAAS!$K$113:$L$134,2,FALSE)),"")</f>
        <v/>
      </c>
      <c r="O217" s="1002" t="str">
        <f t="shared" si="6"/>
        <v/>
      </c>
      <c r="P217" s="1002">
        <f>IFERROR(IF(VLOOKUP(B217,'Dados gerais'!$D$33:$F$35,3,FALSE)="",VLOOKUP('Outras emissões de processo'!B217,'Fatores de Emissão'!$B$12:$E$14,3, FALSE),VLOOKUP(B217,'Dados gerais'!$D$33:$F$35,3,FALSE)),"")</f>
        <v>40</v>
      </c>
      <c r="Q217" s="1002" t="str">
        <f t="shared" si="7"/>
        <v/>
      </c>
      <c r="R217" s="575">
        <f>IFERROR(IF(G217=FAAS!$K$135,'Outras emissões de processo'!I217,VLOOKUP(G217,FAAS!$B$63:$J$82,9,FALSE)),"")</f>
        <v>1.1954817405923699</v>
      </c>
      <c r="S217" s="575">
        <f t="shared" si="2"/>
        <v>1.0963763042972623</v>
      </c>
      <c r="T217" s="575">
        <f t="shared" si="3"/>
        <v>43.855052171890492</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46.8" outlineLevel="2" x14ac:dyDescent="0.3">
      <c r="B218" s="269" t="s">
        <v>1077</v>
      </c>
      <c r="C218" s="962" t="s">
        <v>1651</v>
      </c>
      <c r="D218" s="250" t="s">
        <v>1188</v>
      </c>
      <c r="E218" s="249" t="s">
        <v>412</v>
      </c>
      <c r="F218" s="928">
        <v>0.61699999999999999</v>
      </c>
      <c r="G218" s="269"/>
      <c r="H218" s="270"/>
      <c r="I218" s="270"/>
      <c r="J218" s="271"/>
      <c r="K218" s="623"/>
      <c r="L218" s="249"/>
      <c r="M218" s="563"/>
      <c r="N218" s="1002">
        <f>IFERROR(IF(E218=FAAS!$B$81,I218,VLOOKUP(E218,FAAS!$K$113:$L$134,2,FALSE)),"")</f>
        <v>32.980016652789345</v>
      </c>
      <c r="O218" s="1002">
        <f t="shared" si="6"/>
        <v>20.348670274771028</v>
      </c>
      <c r="P218" s="1002">
        <f>IFERROR(IF(VLOOKUP(B218,'Dados gerais'!$D$33:$F$35,3,FALSE)="",VLOOKUP('Outras emissões de processo'!B218,'Fatores de Emissão'!$B$12:$E$14,3, FALSE),VLOOKUP(B218,'Dados gerais'!$D$33:$F$35,3,FALSE)),"")</f>
        <v>2.6666666666666665</v>
      </c>
      <c r="Q218" s="1002">
        <f t="shared" si="7"/>
        <v>7.6307513530391358</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46.8" outlineLevel="2" x14ac:dyDescent="0.3">
      <c r="B219" s="269" t="s">
        <v>1077</v>
      </c>
      <c r="C219" s="962" t="s">
        <v>1652</v>
      </c>
      <c r="D219" s="250" t="s">
        <v>1188</v>
      </c>
      <c r="E219" s="249" t="s">
        <v>412</v>
      </c>
      <c r="F219" s="928">
        <v>61.113999999999997</v>
      </c>
      <c r="G219" s="269"/>
      <c r="H219" s="270"/>
      <c r="I219" s="270"/>
      <c r="J219" s="271"/>
      <c r="K219" s="623"/>
      <c r="L219" s="249"/>
      <c r="M219" s="563"/>
      <c r="N219" s="1002">
        <f>IFERROR(IF(E219=FAAS!$B$81,I219,VLOOKUP(E219,FAAS!$K$113:$L$134,2,FALSE)),"")</f>
        <v>32.980016652789345</v>
      </c>
      <c r="O219" s="1002">
        <f t="shared" si="6"/>
        <v>2015.5407377185679</v>
      </c>
      <c r="P219" s="1002">
        <f>IFERROR(IF(VLOOKUP(B219,'Dados gerais'!$D$33:$F$35,3,FALSE)="",VLOOKUP('Outras emissões de processo'!B219,'Fatores de Emissão'!$B$12:$E$14,3, FALSE),VLOOKUP(B219,'Dados gerais'!$D$33:$F$35,3,FALSE)),"")</f>
        <v>2.6666666666666665</v>
      </c>
      <c r="Q219" s="1002">
        <f t="shared" si="7"/>
        <v>755.82777664446303</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31.2" outlineLevel="2" x14ac:dyDescent="0.3">
      <c r="B220" s="269" t="s">
        <v>37</v>
      </c>
      <c r="C220" s="962" t="s">
        <v>1652</v>
      </c>
      <c r="D220" s="250" t="s">
        <v>1189</v>
      </c>
      <c r="E220" s="249"/>
      <c r="F220" s="928"/>
      <c r="G220" s="269" t="s">
        <v>414</v>
      </c>
      <c r="H220" s="270"/>
      <c r="I220" s="270"/>
      <c r="J220" s="271"/>
      <c r="K220" s="623">
        <f>+F219</f>
        <v>61.113999999999997</v>
      </c>
      <c r="L220" s="249"/>
      <c r="M220" s="563"/>
      <c r="N220" s="1002" t="str">
        <f>IFERROR(IF(E220=FAAS!$B$81,I220,VLOOKUP(E220,FAAS!$K$113:$L$134,2,FALSE)),"")</f>
        <v/>
      </c>
      <c r="O220" s="1002" t="str">
        <f t="shared" si="6"/>
        <v/>
      </c>
      <c r="P220" s="1002">
        <f>IFERROR(IF(VLOOKUP(B220,'Dados gerais'!$D$33:$F$35,3,FALSE)="",VLOOKUP('Outras emissões de processo'!B220,'Fatores de Emissão'!$B$12:$E$14,3, FALSE),VLOOKUP(B220,'Dados gerais'!$D$33:$F$35,3,FALSE)),"")</f>
        <v>40</v>
      </c>
      <c r="Q220" s="1002" t="str">
        <f t="shared" si="7"/>
        <v/>
      </c>
      <c r="R220" s="575">
        <f>IFERROR(IF(G220=FAAS!$K$135,'Outras emissões de processo'!I220,VLOOKUP(G220,FAAS!$B$63:$J$82,9,FALSE)),"")</f>
        <v>7.0332457953372192</v>
      </c>
      <c r="S220" s="575">
        <f t="shared" si="2"/>
        <v>429.82978353623878</v>
      </c>
      <c r="T220" s="575">
        <f t="shared" si="3"/>
        <v>17193.19134144955</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46.8" outlineLevel="2" x14ac:dyDescent="0.3">
      <c r="B221" s="269" t="s">
        <v>1077</v>
      </c>
      <c r="C221" s="962" t="s">
        <v>1653</v>
      </c>
      <c r="D221" s="250" t="s">
        <v>1188</v>
      </c>
      <c r="E221" s="249" t="s">
        <v>412</v>
      </c>
      <c r="F221" s="928">
        <v>1.8089999999999999</v>
      </c>
      <c r="G221" s="269"/>
      <c r="H221" s="270"/>
      <c r="I221" s="270"/>
      <c r="J221" s="271"/>
      <c r="K221" s="623"/>
      <c r="L221" s="249"/>
      <c r="M221" s="563"/>
      <c r="N221" s="1002">
        <f>IFERROR(IF(E221=FAAS!$B$81,I221,VLOOKUP(E221,FAAS!$K$113:$L$134,2,FALSE)),"")</f>
        <v>32.980016652789345</v>
      </c>
      <c r="O221" s="1002">
        <f t="shared" si="6"/>
        <v>59.660850124895923</v>
      </c>
      <c r="P221" s="1002">
        <f>IFERROR(IF(VLOOKUP(B221,'Dados gerais'!$D$33:$F$35,3,FALSE)="",VLOOKUP('Outras emissões de processo'!B221,'Fatores de Emissão'!$B$12:$E$14,3, FALSE),VLOOKUP(B221,'Dados gerais'!$D$33:$F$35,3,FALSE)),"")</f>
        <v>2.6666666666666665</v>
      </c>
      <c r="Q221" s="1002">
        <f t="shared" si="7"/>
        <v>22.372818796835972</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31.2" outlineLevel="2" x14ac:dyDescent="0.3">
      <c r="B222" s="269" t="s">
        <v>37</v>
      </c>
      <c r="C222" s="962" t="s">
        <v>1653</v>
      </c>
      <c r="D222" s="250" t="s">
        <v>1189</v>
      </c>
      <c r="E222" s="249"/>
      <c r="F222" s="928"/>
      <c r="G222" s="269" t="s">
        <v>513</v>
      </c>
      <c r="H222" s="270"/>
      <c r="I222" s="270"/>
      <c r="J222" s="271"/>
      <c r="K222" s="623">
        <v>1.8089999999999999</v>
      </c>
      <c r="L222" s="249"/>
      <c r="M222" s="563"/>
      <c r="N222" s="1002" t="str">
        <f>IFERROR(IF(E222=FAAS!$B$81,I222,VLOOKUP(E222,FAAS!$K$113:$L$134,2,FALSE)),"")</f>
        <v/>
      </c>
      <c r="O222" s="1002" t="str">
        <f t="shared" si="6"/>
        <v/>
      </c>
      <c r="P222" s="1002">
        <f>IFERROR(IF(VLOOKUP(B222,'Dados gerais'!$D$33:$F$35,3,FALSE)="",VLOOKUP('Outras emissões de processo'!B222,'Fatores de Emissão'!$B$12:$E$14,3, FALSE),VLOOKUP(B222,'Dados gerais'!$D$33:$F$35,3,FALSE)),"")</f>
        <v>40</v>
      </c>
      <c r="Q222" s="1002" t="str">
        <f t="shared" si="7"/>
        <v/>
      </c>
      <c r="R222" s="575">
        <f>IFERROR(IF(G222=FAAS!$K$135,'Outras emissões de processo'!I222,VLOOKUP(G222,FAAS!$B$63:$J$82,9,FALSE)),"")</f>
        <v>1.1954817405923699</v>
      </c>
      <c r="S222" s="575">
        <f t="shared" si="2"/>
        <v>2.162626468731597</v>
      </c>
      <c r="T222" s="575">
        <f t="shared" si="3"/>
        <v>86.505058749263881</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46.8" outlineLevel="2" x14ac:dyDescent="0.3">
      <c r="B223" s="269" t="s">
        <v>1077</v>
      </c>
      <c r="C223" s="962" t="s">
        <v>1654</v>
      </c>
      <c r="D223" s="250" t="s">
        <v>1189</v>
      </c>
      <c r="E223" s="249"/>
      <c r="F223" s="928"/>
      <c r="G223" s="269" t="s">
        <v>412</v>
      </c>
      <c r="H223" s="270"/>
      <c r="I223" s="270"/>
      <c r="J223" s="271"/>
      <c r="K223" s="623">
        <v>64.539000000000001</v>
      </c>
      <c r="L223" s="249"/>
      <c r="M223" s="563"/>
      <c r="N223" s="1002" t="str">
        <f>IFERROR(IF(E223=FAAS!$B$81,I223,VLOOKUP(E223,FAAS!$K$113:$L$134,2,FALSE)),"")</f>
        <v/>
      </c>
      <c r="O223" s="1002" t="str">
        <f t="shared" si="6"/>
        <v/>
      </c>
      <c r="P223" s="1002">
        <f>IFERROR(IF(VLOOKUP(B223,'Dados gerais'!$D$33:$F$35,3,FALSE)="",VLOOKUP('Outras emissões de processo'!B223,'Fatores de Emissão'!$B$12:$E$14,3, FALSE),VLOOKUP(B223,'Dados gerais'!$D$33:$F$35,3,FALSE)),"")</f>
        <v>2.6666666666666665</v>
      </c>
      <c r="Q223" s="1002" t="str">
        <f t="shared" si="7"/>
        <v/>
      </c>
      <c r="R223" s="575">
        <f>IFERROR(IF(G223=FAAS!$K$135,'Outras emissões de processo'!I223,VLOOKUP(G223,FAAS!$B$63:$J$82,9,FALSE)),"")</f>
        <v>0.88818482847626967</v>
      </c>
      <c r="S223" s="575">
        <f t="shared" si="2"/>
        <v>57.322560645029967</v>
      </c>
      <c r="T223" s="575">
        <f t="shared" si="3"/>
        <v>152.8601617200799</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outlineLevel="2" x14ac:dyDescent="0.3">
      <c r="B224" s="269" t="s">
        <v>37</v>
      </c>
      <c r="C224" s="962" t="s">
        <v>1654</v>
      </c>
      <c r="D224" s="250" t="s">
        <v>1189</v>
      </c>
      <c r="E224" s="249"/>
      <c r="F224" s="928"/>
      <c r="G224" s="269" t="s">
        <v>412</v>
      </c>
      <c r="H224" s="270"/>
      <c r="I224" s="270"/>
      <c r="J224" s="271"/>
      <c r="K224" s="623">
        <f>+K223</f>
        <v>64.539000000000001</v>
      </c>
      <c r="L224" s="249"/>
      <c r="M224" s="563"/>
      <c r="N224" s="1002" t="str">
        <f>IFERROR(IF(E224=FAAS!$B$81,I224,VLOOKUP(E224,FAAS!$K$113:$L$134,2,FALSE)),"")</f>
        <v/>
      </c>
      <c r="O224" s="1002" t="str">
        <f t="shared" si="6"/>
        <v/>
      </c>
      <c r="P224" s="1002">
        <f>IFERROR(IF(VLOOKUP(B224,'Dados gerais'!$D$33:$F$35,3,FALSE)="",VLOOKUP('Outras emissões de processo'!B224,'Fatores de Emissão'!$B$12:$E$14,3, FALSE),VLOOKUP(B224,'Dados gerais'!$D$33:$F$35,3,FALSE)),"")</f>
        <v>40</v>
      </c>
      <c r="Q224" s="1002" t="str">
        <f t="shared" si="7"/>
        <v/>
      </c>
      <c r="R224" s="575">
        <f>IFERROR(IF(G224=FAAS!$K$135,'Outras emissões de processo'!I224,VLOOKUP(G224,FAAS!$B$63:$J$82,9,FALSE)),"")</f>
        <v>0.88818482847626967</v>
      </c>
      <c r="S224" s="575">
        <f t="shared" si="2"/>
        <v>57.322560645029967</v>
      </c>
      <c r="T224" s="575">
        <f t="shared" si="3"/>
        <v>2292.9024258011987</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46.8" outlineLevel="2" x14ac:dyDescent="0.3">
      <c r="B225" s="269" t="s">
        <v>1077</v>
      </c>
      <c r="C225" s="962" t="s">
        <v>1655</v>
      </c>
      <c r="D225" s="250" t="s">
        <v>1188</v>
      </c>
      <c r="E225" s="249" t="s">
        <v>412</v>
      </c>
      <c r="F225" s="928">
        <v>1.4E-2</v>
      </c>
      <c r="G225" s="269"/>
      <c r="H225" s="270"/>
      <c r="I225" s="270"/>
      <c r="J225" s="271"/>
      <c r="K225" s="623"/>
      <c r="L225" s="249"/>
      <c r="M225" s="563"/>
      <c r="N225" s="1002">
        <f>IFERROR(IF(E225=FAAS!$B$81,I225,VLOOKUP(E225,FAAS!$K$113:$L$134,2,FALSE)),"")</f>
        <v>32.980016652789345</v>
      </c>
      <c r="O225" s="1002">
        <f t="shared" si="6"/>
        <v>0.46172023313905086</v>
      </c>
      <c r="P225" s="1002">
        <f>IFERROR(IF(VLOOKUP(B225,'Dados gerais'!$D$33:$F$35,3,FALSE)="",VLOOKUP('Outras emissões de processo'!B225,'Fatores de Emissão'!$B$12:$E$14,3, FALSE),VLOOKUP(B225,'Dados gerais'!$D$33:$F$35,3,FALSE)),"")</f>
        <v>2.6666666666666665</v>
      </c>
      <c r="Q225" s="1002">
        <f t="shared" si="7"/>
        <v>0.17314508742714407</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46.8" outlineLevel="2" x14ac:dyDescent="0.3">
      <c r="B226" s="269" t="s">
        <v>1077</v>
      </c>
      <c r="C226" s="962" t="s">
        <v>1656</v>
      </c>
      <c r="D226" s="250" t="s">
        <v>1188</v>
      </c>
      <c r="E226" s="249" t="s">
        <v>412</v>
      </c>
      <c r="F226" s="928">
        <v>2.9279999999999999</v>
      </c>
      <c r="G226" s="269"/>
      <c r="H226" s="270"/>
      <c r="I226" s="270"/>
      <c r="J226" s="271"/>
      <c r="K226" s="623"/>
      <c r="L226" s="249"/>
      <c r="M226" s="563"/>
      <c r="N226" s="1002">
        <f>IFERROR(IF(E226=FAAS!$B$81,I226,VLOOKUP(E226,FAAS!$K$113:$L$134,2,FALSE)),"")</f>
        <v>32.980016652789345</v>
      </c>
      <c r="O226" s="1002">
        <f t="shared" si="6"/>
        <v>96.565488759367199</v>
      </c>
      <c r="P226" s="1002">
        <f>IFERROR(IF(VLOOKUP(B226,'Dados gerais'!$D$33:$F$35,3,FALSE)="",VLOOKUP('Outras emissões de processo'!B226,'Fatores de Emissão'!$B$12:$E$14,3, FALSE),VLOOKUP(B226,'Dados gerais'!$D$33:$F$35,3,FALSE)),"")</f>
        <v>2.6666666666666665</v>
      </c>
      <c r="Q226" s="1002">
        <f t="shared" si="7"/>
        <v>36.212058284762705</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31.2" outlineLevel="2" x14ac:dyDescent="0.3">
      <c r="B227" s="269" t="s">
        <v>37</v>
      </c>
      <c r="C227" s="962" t="s">
        <v>1656</v>
      </c>
      <c r="D227" s="250" t="s">
        <v>1189</v>
      </c>
      <c r="E227" s="249"/>
      <c r="F227" s="928"/>
      <c r="G227" s="269" t="s">
        <v>428</v>
      </c>
      <c r="H227" s="270"/>
      <c r="I227" s="270"/>
      <c r="J227" s="271"/>
      <c r="K227" s="623">
        <f>0.6*F226</f>
        <v>1.7567999999999999</v>
      </c>
      <c r="L227" s="249"/>
      <c r="M227" s="563"/>
      <c r="N227" s="1002" t="str">
        <f>IFERROR(IF(E227=FAAS!$B$81,I227,VLOOKUP(E227,FAAS!$K$113:$L$134,2,FALSE)),"")</f>
        <v/>
      </c>
      <c r="O227" s="1002" t="str">
        <f t="shared" si="6"/>
        <v/>
      </c>
      <c r="P227" s="1002">
        <f>IFERROR(IF(VLOOKUP(B227,'Dados gerais'!$D$33:$F$35,3,FALSE)="",VLOOKUP('Outras emissões de processo'!B227,'Fatores de Emissão'!$B$12:$E$14,3, FALSE),VLOOKUP(B227,'Dados gerais'!$D$33:$F$35,3,FALSE)),"")</f>
        <v>40</v>
      </c>
      <c r="Q227" s="1002" t="str">
        <f t="shared" si="7"/>
        <v/>
      </c>
      <c r="R227" s="575">
        <f>IFERROR(IF(G227=FAAS!$K$135,'Outras emissões de processo'!I227,VLOOKUP(G227,FAAS!$B$63:$J$82,9,FALSE)),"")</f>
        <v>11.60148103530746</v>
      </c>
      <c r="S227" s="575">
        <f t="shared" si="2"/>
        <v>20.381481882828144</v>
      </c>
      <c r="T227" s="575">
        <f t="shared" si="3"/>
        <v>815.25927531312573</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31.2" outlineLevel="2" x14ac:dyDescent="0.3">
      <c r="B228" s="269" t="s">
        <v>37</v>
      </c>
      <c r="C228" s="962" t="s">
        <v>1656</v>
      </c>
      <c r="D228" s="250" t="s">
        <v>1189</v>
      </c>
      <c r="E228" s="249"/>
      <c r="F228" s="928"/>
      <c r="G228" s="269" t="s">
        <v>417</v>
      </c>
      <c r="H228" s="270"/>
      <c r="I228" s="270"/>
      <c r="J228" s="271"/>
      <c r="K228" s="623">
        <f>0.4*F226</f>
        <v>1.1712</v>
      </c>
      <c r="L228" s="249"/>
      <c r="M228" s="563"/>
      <c r="N228" s="1002" t="str">
        <f>IFERROR(IF(E228=FAAS!$B$81,I228,VLOOKUP(E228,FAAS!$K$113:$L$134,2,FALSE)),"")</f>
        <v/>
      </c>
      <c r="O228" s="1002" t="str">
        <f t="shared" si="6"/>
        <v/>
      </c>
      <c r="P228" s="1002">
        <f>IFERROR(IF(VLOOKUP(B228,'Dados gerais'!$D$33:$F$35,3,FALSE)="",VLOOKUP('Outras emissões de processo'!B228,'Fatores de Emissão'!$B$12:$E$14,3, FALSE),VLOOKUP(B228,'Dados gerais'!$D$33:$F$35,3,FALSE)),"")</f>
        <v>40</v>
      </c>
      <c r="Q228" s="1002" t="str">
        <f t="shared" si="7"/>
        <v/>
      </c>
      <c r="R228" s="575">
        <f>IFERROR(IF(G228=FAAS!$K$135,'Outras emissões de processo'!I228,VLOOKUP(G228,FAAS!$B$63:$J$82,9,FALSE)),"")</f>
        <v>1.8574378358867605</v>
      </c>
      <c r="S228" s="575">
        <f t="shared" si="2"/>
        <v>2.1754311933905739</v>
      </c>
      <c r="T228" s="575">
        <f t="shared" si="3"/>
        <v>87.017247735622959</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46.8" outlineLevel="2" x14ac:dyDescent="0.3">
      <c r="B229" s="269" t="s">
        <v>1077</v>
      </c>
      <c r="C229" s="962" t="s">
        <v>1657</v>
      </c>
      <c r="D229" s="250" t="s">
        <v>1188</v>
      </c>
      <c r="E229" s="249" t="s">
        <v>412</v>
      </c>
      <c r="F229" s="928">
        <v>5.8000000000000003E-2</v>
      </c>
      <c r="G229" s="269"/>
      <c r="H229" s="270"/>
      <c r="I229" s="270"/>
      <c r="J229" s="271"/>
      <c r="K229" s="623"/>
      <c r="L229" s="249"/>
      <c r="M229" s="563"/>
      <c r="N229" s="1002">
        <f>IFERROR(IF(E229=FAAS!$B$81,I229,VLOOKUP(E229,FAAS!$K$113:$L$134,2,FALSE)),"")</f>
        <v>32.980016652789345</v>
      </c>
      <c r="O229" s="1002">
        <f t="shared" si="6"/>
        <v>1.9128409658617822</v>
      </c>
      <c r="P229" s="1002">
        <f>IFERROR(IF(VLOOKUP(B229,'Dados gerais'!$D$33:$F$35,3,FALSE)="",VLOOKUP('Outras emissões de processo'!B229,'Fatores de Emissão'!$B$12:$E$14,3, FALSE),VLOOKUP(B229,'Dados gerais'!$D$33:$F$35,3,FALSE)),"")</f>
        <v>2.6666666666666665</v>
      </c>
      <c r="Q229" s="1002">
        <f t="shared" si="7"/>
        <v>0.71731536219816838</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outlineLevel="2" x14ac:dyDescent="0.3">
      <c r="B230" s="269" t="s">
        <v>37</v>
      </c>
      <c r="C230" s="962" t="s">
        <v>1657</v>
      </c>
      <c r="D230" s="250" t="s">
        <v>1189</v>
      </c>
      <c r="E230" s="249"/>
      <c r="F230" s="928"/>
      <c r="G230" s="269" t="s">
        <v>417</v>
      </c>
      <c r="H230" s="270"/>
      <c r="I230" s="270"/>
      <c r="J230" s="271"/>
      <c r="K230" s="623">
        <f>+F229</f>
        <v>5.8000000000000003E-2</v>
      </c>
      <c r="L230" s="249"/>
      <c r="M230" s="563"/>
      <c r="N230" s="1002" t="str">
        <f>IFERROR(IF(E230=FAAS!$B$81,I230,VLOOKUP(E230,FAAS!$K$113:$L$134,2,FALSE)),"")</f>
        <v/>
      </c>
      <c r="O230" s="1002" t="str">
        <f t="shared" si="6"/>
        <v/>
      </c>
      <c r="P230" s="1002">
        <f>IFERROR(IF(VLOOKUP(B230,'Dados gerais'!$D$33:$F$35,3,FALSE)="",VLOOKUP('Outras emissões de processo'!B230,'Fatores de Emissão'!$B$12:$E$14,3, FALSE),VLOOKUP(B230,'Dados gerais'!$D$33:$F$35,3,FALSE)),"")</f>
        <v>40</v>
      </c>
      <c r="Q230" s="1002" t="str">
        <f t="shared" si="7"/>
        <v/>
      </c>
      <c r="R230" s="575">
        <f>IFERROR(IF(G230=FAAS!$K$135,'Outras emissões de processo'!I230,VLOOKUP(G230,FAAS!$B$63:$J$82,9,FALSE)),"")</f>
        <v>1.8574378358867605</v>
      </c>
      <c r="S230" s="575">
        <f t="shared" si="2"/>
        <v>0.10773139448143211</v>
      </c>
      <c r="T230" s="575">
        <f t="shared" si="3"/>
        <v>4.3092557792572848</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46.8" outlineLevel="2" x14ac:dyDescent="0.3">
      <c r="B231" s="269" t="s">
        <v>1077</v>
      </c>
      <c r="C231" s="962" t="s">
        <v>1658</v>
      </c>
      <c r="D231" s="250" t="s">
        <v>1188</v>
      </c>
      <c r="E231" s="249" t="s">
        <v>412</v>
      </c>
      <c r="F231" s="928">
        <f>0.9*0.001</f>
        <v>9.0000000000000008E-4</v>
      </c>
      <c r="G231" s="269"/>
      <c r="H231" s="270"/>
      <c r="I231" s="270"/>
      <c r="J231" s="271"/>
      <c r="K231" s="623"/>
      <c r="L231" s="249"/>
      <c r="M231" s="563"/>
      <c r="N231" s="1002">
        <f>IFERROR(IF(E231=FAAS!$B$81,I231,VLOOKUP(E231,FAAS!$K$113:$L$134,2,FALSE)),"")</f>
        <v>32.980016652789345</v>
      </c>
      <c r="O231" s="1002">
        <f t="shared" si="6"/>
        <v>2.9682014987510413E-2</v>
      </c>
      <c r="P231" s="1002">
        <f>IFERROR(IF(VLOOKUP(B231,'Dados gerais'!$D$33:$F$35,3,FALSE)="",VLOOKUP('Outras emissões de processo'!B231,'Fatores de Emissão'!$B$12:$E$14,3, FALSE),VLOOKUP(B231,'Dados gerais'!$D$33:$F$35,3,FALSE)),"")</f>
        <v>2.6666666666666665</v>
      </c>
      <c r="Q231" s="1002">
        <f t="shared" si="7"/>
        <v>1.1130755620316405E-2</v>
      </c>
      <c r="R231" s="575" t="str">
        <f>IFERROR(IF(G231=FAAS!$K$135,'Outras emissões de processo'!I231,VLOOKUP(G231,FAAS!$B$63:$J$82,9,FALSE)),"")</f>
        <v/>
      </c>
      <c r="S231" s="575" t="str">
        <f t="shared" si="2"/>
        <v/>
      </c>
      <c r="T231" s="575" t="str">
        <f t="shared" si="3"/>
        <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46.8" outlineLevel="2" x14ac:dyDescent="0.3">
      <c r="B232" s="269" t="s">
        <v>1077</v>
      </c>
      <c r="C232" s="962" t="s">
        <v>1659</v>
      </c>
      <c r="D232" s="250" t="s">
        <v>1188</v>
      </c>
      <c r="E232" s="249" t="s">
        <v>412</v>
      </c>
      <c r="F232" s="928">
        <f>0.9*1.214</f>
        <v>1.0926</v>
      </c>
      <c r="G232" s="269"/>
      <c r="H232" s="270"/>
      <c r="I232" s="270"/>
      <c r="J232" s="271"/>
      <c r="K232" s="623"/>
      <c r="L232" s="249"/>
      <c r="M232" s="563"/>
      <c r="N232" s="1002">
        <f>IFERROR(IF(E232=FAAS!$B$81,I232,VLOOKUP(E232,FAAS!$K$113:$L$134,2,FALSE)),"")</f>
        <v>32.980016652789345</v>
      </c>
      <c r="O232" s="1002">
        <f t="shared" si="6"/>
        <v>36.033966194837639</v>
      </c>
      <c r="P232" s="1002">
        <f>IFERROR(IF(VLOOKUP(B232,'Dados gerais'!$D$33:$F$35,3,FALSE)="",VLOOKUP('Outras emissões de processo'!B232,'Fatores de Emissão'!$B$12:$E$14,3, FALSE),VLOOKUP(B232,'Dados gerais'!$D$33:$F$35,3,FALSE)),"")</f>
        <v>2.6666666666666665</v>
      </c>
      <c r="Q232" s="1002">
        <f t="shared" si="7"/>
        <v>13.512737323064115</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46.8" outlineLevel="2" x14ac:dyDescent="0.3">
      <c r="B233" s="269" t="s">
        <v>37</v>
      </c>
      <c r="C233" s="962" t="s">
        <v>1659</v>
      </c>
      <c r="D233" s="250" t="s">
        <v>1189</v>
      </c>
      <c r="E233" s="249"/>
      <c r="F233" s="928"/>
      <c r="G233" s="269" t="s">
        <v>414</v>
      </c>
      <c r="H233" s="270"/>
      <c r="I233" s="270"/>
      <c r="J233" s="271"/>
      <c r="K233" s="623">
        <f>+F232</f>
        <v>1.0926</v>
      </c>
      <c r="L233" s="249"/>
      <c r="M233" s="563"/>
      <c r="N233" s="1002" t="str">
        <f>IFERROR(IF(E233=FAAS!$B$81,I233,VLOOKUP(E233,FAAS!$K$113:$L$134,2,FALSE)),"")</f>
        <v/>
      </c>
      <c r="O233" s="1002" t="str">
        <f t="shared" ref="O233:O266" si="12">IFERROR(N233*F233,"")</f>
        <v/>
      </c>
      <c r="P233" s="1002">
        <f>IFERROR(IF(VLOOKUP(B233,'Dados gerais'!$D$33:$F$35,3,FALSE)="",VLOOKUP('Outras emissões de processo'!B233,'Fatores de Emissão'!$B$12:$E$14,3, FALSE),VLOOKUP(B233,'Dados gerais'!$D$33:$F$35,3,FALSE)),"")</f>
        <v>40</v>
      </c>
      <c r="Q233" s="1002" t="str">
        <f t="shared" ref="Q233:Q266" si="13">IFERROR(O233/P233,"")</f>
        <v/>
      </c>
      <c r="R233" s="575">
        <f>IFERROR(IF(G233=FAAS!$K$135,'Outras emissões de processo'!I233,VLOOKUP(G233,FAAS!$B$63:$J$82,9,FALSE)),"")</f>
        <v>7.0332457953372192</v>
      </c>
      <c r="S233" s="575">
        <f t="shared" si="8"/>
        <v>7.6845243559854461</v>
      </c>
      <c r="T233" s="575">
        <f t="shared" si="9"/>
        <v>307.38097423941787</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46.8" outlineLevel="2" x14ac:dyDescent="0.3">
      <c r="B234" s="269" t="s">
        <v>1077</v>
      </c>
      <c r="C234" s="962" t="s">
        <v>1660</v>
      </c>
      <c r="D234" s="250" t="s">
        <v>1189</v>
      </c>
      <c r="E234" s="249"/>
      <c r="F234" s="928"/>
      <c r="G234" s="269" t="s">
        <v>412</v>
      </c>
      <c r="H234" s="270"/>
      <c r="I234" s="270"/>
      <c r="J234" s="271"/>
      <c r="K234" s="623">
        <f>0.9*7.965</f>
        <v>7.1684999999999999</v>
      </c>
      <c r="L234" s="249"/>
      <c r="M234" s="563"/>
      <c r="N234" s="1002" t="str">
        <f>IFERROR(IF(E234=FAAS!$B$81,I234,VLOOKUP(E234,FAAS!$K$113:$L$134,2,FALSE)),"")</f>
        <v/>
      </c>
      <c r="O234" s="1002" t="str">
        <f t="shared" si="12"/>
        <v/>
      </c>
      <c r="P234" s="1002">
        <f>IFERROR(IF(VLOOKUP(B234,'Dados gerais'!$D$33:$F$35,3,FALSE)="",VLOOKUP('Outras emissões de processo'!B234,'Fatores de Emissão'!$B$12:$E$14,3, FALSE),VLOOKUP(B234,'Dados gerais'!$D$33:$F$35,3,FALSE)),"")</f>
        <v>2.6666666666666665</v>
      </c>
      <c r="Q234" s="1002" t="str">
        <f t="shared" si="13"/>
        <v/>
      </c>
      <c r="R234" s="575">
        <f>IFERROR(IF(G234=FAAS!$K$135,'Outras emissões de processo'!I234,VLOOKUP(G234,FAAS!$B$63:$J$82,9,FALSE)),"")</f>
        <v>0.88818482847626967</v>
      </c>
      <c r="S234" s="575">
        <f t="shared" si="8"/>
        <v>6.366952942932139</v>
      </c>
      <c r="T234" s="575">
        <f t="shared" si="9"/>
        <v>16.978541181152369</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outlineLevel="2" x14ac:dyDescent="0.3">
      <c r="B235" s="269" t="s">
        <v>37</v>
      </c>
      <c r="C235" s="962" t="s">
        <v>1660</v>
      </c>
      <c r="D235" s="250" t="s">
        <v>1189</v>
      </c>
      <c r="E235" s="249"/>
      <c r="F235" s="928"/>
      <c r="G235" s="269" t="s">
        <v>412</v>
      </c>
      <c r="H235" s="270"/>
      <c r="I235" s="270"/>
      <c r="J235" s="271"/>
      <c r="K235" s="623">
        <f>+K234</f>
        <v>7.1684999999999999</v>
      </c>
      <c r="L235" s="249"/>
      <c r="M235" s="563"/>
      <c r="N235" s="1002" t="str">
        <f>IFERROR(IF(E235=FAAS!$B$81,I235,VLOOKUP(E235,FAAS!$K$113:$L$134,2,FALSE)),"")</f>
        <v/>
      </c>
      <c r="O235" s="1002" t="str">
        <f t="shared" si="12"/>
        <v/>
      </c>
      <c r="P235" s="1002">
        <f>IFERROR(IF(VLOOKUP(B235,'Dados gerais'!$D$33:$F$35,3,FALSE)="",VLOOKUP('Outras emissões de processo'!B235,'Fatores de Emissão'!$B$12:$E$14,3, FALSE),VLOOKUP(B235,'Dados gerais'!$D$33:$F$35,3,FALSE)),"")</f>
        <v>40</v>
      </c>
      <c r="Q235" s="1002" t="str">
        <f t="shared" si="13"/>
        <v/>
      </c>
      <c r="R235" s="575">
        <f>IFERROR(IF(G235=FAAS!$K$135,'Outras emissões de processo'!I235,VLOOKUP(G235,FAAS!$B$63:$J$82,9,FALSE)),"")</f>
        <v>0.88818482847626967</v>
      </c>
      <c r="S235" s="575">
        <f t="shared" si="8"/>
        <v>6.366952942932139</v>
      </c>
      <c r="T235" s="575">
        <f t="shared" si="9"/>
        <v>254.67811771728555</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46.8" outlineLevel="2" x14ac:dyDescent="0.3">
      <c r="B236" s="269" t="s">
        <v>1077</v>
      </c>
      <c r="C236" s="962" t="s">
        <v>1661</v>
      </c>
      <c r="D236" s="250" t="s">
        <v>1188</v>
      </c>
      <c r="E236" s="249" t="s">
        <v>412</v>
      </c>
      <c r="F236" s="928">
        <f>0.9*0.181</f>
        <v>0.16289999999999999</v>
      </c>
      <c r="G236" s="269"/>
      <c r="H236" s="270"/>
      <c r="I236" s="270"/>
      <c r="J236" s="271"/>
      <c r="K236" s="623"/>
      <c r="L236" s="249"/>
      <c r="M236" s="563"/>
      <c r="N236" s="1002">
        <f>IFERROR(IF(E236=FAAS!$B$81,I236,VLOOKUP(E236,FAAS!$K$113:$L$134,2,FALSE)),"")</f>
        <v>32.980016652789345</v>
      </c>
      <c r="O236" s="1002">
        <f t="shared" si="12"/>
        <v>5.3724447127393837</v>
      </c>
      <c r="P236" s="1002">
        <f>IFERROR(IF(VLOOKUP(B236,'Dados gerais'!$D$33:$F$35,3,FALSE)="",VLOOKUP('Outras emissões de processo'!B236,'Fatores de Emissão'!$B$12:$E$14,3, FALSE),VLOOKUP(B236,'Dados gerais'!$D$33:$F$35,3,FALSE)),"")</f>
        <v>2.6666666666666665</v>
      </c>
      <c r="Q236" s="1002">
        <f t="shared" si="13"/>
        <v>2.0146667672772689</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31.2" outlineLevel="2" x14ac:dyDescent="0.3">
      <c r="B237" s="269" t="s">
        <v>37</v>
      </c>
      <c r="C237" s="962" t="s">
        <v>1661</v>
      </c>
      <c r="D237" s="250" t="s">
        <v>1189</v>
      </c>
      <c r="E237" s="249"/>
      <c r="F237" s="928"/>
      <c r="G237" s="269" t="s">
        <v>428</v>
      </c>
      <c r="H237" s="270"/>
      <c r="I237" s="270"/>
      <c r="J237" s="271"/>
      <c r="K237" s="623">
        <f>0.6*F236</f>
        <v>9.7739999999999994E-2</v>
      </c>
      <c r="L237" s="249"/>
      <c r="M237" s="563"/>
      <c r="N237" s="1002" t="str">
        <f>IFERROR(IF(E237=FAAS!$B$81,I237,VLOOKUP(E237,FAAS!$K$113:$L$134,2,FALSE)),"")</f>
        <v/>
      </c>
      <c r="O237" s="1002" t="str">
        <f t="shared" si="12"/>
        <v/>
      </c>
      <c r="P237" s="1002">
        <f>IFERROR(IF(VLOOKUP(B237,'Dados gerais'!$D$33:$F$35,3,FALSE)="",VLOOKUP('Outras emissões de processo'!B237,'Fatores de Emissão'!$B$12:$E$14,3, FALSE),VLOOKUP(B237,'Dados gerais'!$D$33:$F$35,3,FALSE)),"")</f>
        <v>40</v>
      </c>
      <c r="Q237" s="1002" t="str">
        <f t="shared" si="13"/>
        <v/>
      </c>
      <c r="R237" s="575">
        <f>IFERROR(IF(G237=FAAS!$K$135,'Outras emissões de processo'!I237,VLOOKUP(G237,FAAS!$B$63:$J$82,9,FALSE)),"")</f>
        <v>11.60148103530746</v>
      </c>
      <c r="S237" s="575">
        <f t="shared" si="8"/>
        <v>1.133928756390951</v>
      </c>
      <c r="T237" s="575">
        <f t="shared" si="9"/>
        <v>45.357150255638039</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31.2" outlineLevel="2" x14ac:dyDescent="0.3">
      <c r="B238" s="269" t="s">
        <v>37</v>
      </c>
      <c r="C238" s="962" t="s">
        <v>1661</v>
      </c>
      <c r="D238" s="250" t="s">
        <v>1189</v>
      </c>
      <c r="E238" s="249"/>
      <c r="F238" s="928"/>
      <c r="G238" s="269" t="s">
        <v>417</v>
      </c>
      <c r="H238" s="270"/>
      <c r="I238" s="270"/>
      <c r="J238" s="271"/>
      <c r="K238" s="623">
        <f>0.4*F236</f>
        <v>6.5159999999999996E-2</v>
      </c>
      <c r="L238" s="249"/>
      <c r="M238" s="563"/>
      <c r="N238" s="1002" t="str">
        <f>IFERROR(IF(E238=FAAS!$B$81,I238,VLOOKUP(E238,FAAS!$K$113:$L$134,2,FALSE)),"")</f>
        <v/>
      </c>
      <c r="O238" s="1002" t="str">
        <f t="shared" si="12"/>
        <v/>
      </c>
      <c r="P238" s="1002">
        <f>IFERROR(IF(VLOOKUP(B238,'Dados gerais'!$D$33:$F$35,3,FALSE)="",VLOOKUP('Outras emissões de processo'!B238,'Fatores de Emissão'!$B$12:$E$14,3, FALSE),VLOOKUP(B238,'Dados gerais'!$D$33:$F$35,3,FALSE)),"")</f>
        <v>40</v>
      </c>
      <c r="Q238" s="1002" t="str">
        <f t="shared" si="13"/>
        <v/>
      </c>
      <c r="R238" s="575">
        <f>IFERROR(IF(G238=FAAS!$K$135,'Outras emissões de processo'!I238,VLOOKUP(G238,FAAS!$B$63:$J$82,9,FALSE)),"")</f>
        <v>1.8574378358867605</v>
      </c>
      <c r="S238" s="575">
        <f t="shared" si="8"/>
        <v>0.12103064938638131</v>
      </c>
      <c r="T238" s="575">
        <f t="shared" si="9"/>
        <v>4.8412259754552522</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46.8" outlineLevel="2" x14ac:dyDescent="0.3">
      <c r="B239" s="269" t="s">
        <v>1077</v>
      </c>
      <c r="C239" s="962" t="s">
        <v>1662</v>
      </c>
      <c r="D239" s="250" t="s">
        <v>1188</v>
      </c>
      <c r="E239" s="249" t="s">
        <v>412</v>
      </c>
      <c r="F239" s="928">
        <f>0.9*0.095</f>
        <v>8.5500000000000007E-2</v>
      </c>
      <c r="G239" s="269"/>
      <c r="H239" s="270"/>
      <c r="I239" s="270"/>
      <c r="J239" s="271"/>
      <c r="K239" s="623"/>
      <c r="L239" s="249"/>
      <c r="M239" s="563"/>
      <c r="N239" s="1002">
        <f>IFERROR(IF(E239=FAAS!$B$81,I239,VLOOKUP(E239,FAAS!$K$113:$L$134,2,FALSE)),"")</f>
        <v>32.980016652789345</v>
      </c>
      <c r="O239" s="1002">
        <f t="shared" si="12"/>
        <v>2.8197914238134891</v>
      </c>
      <c r="P239" s="1002">
        <f>IFERROR(IF(VLOOKUP(B239,'Dados gerais'!$D$33:$F$35,3,FALSE)="",VLOOKUP('Outras emissões de processo'!B239,'Fatores de Emissão'!$B$12:$E$14,3, FALSE),VLOOKUP(B239,'Dados gerais'!$D$33:$F$35,3,FALSE)),"")</f>
        <v>2.6666666666666665</v>
      </c>
      <c r="Q239" s="1002">
        <f t="shared" si="13"/>
        <v>1.0574217839300586</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outlineLevel="2" x14ac:dyDescent="0.3">
      <c r="B240" s="269" t="s">
        <v>1077</v>
      </c>
      <c r="C240" s="962" t="s">
        <v>1662</v>
      </c>
      <c r="D240" s="250" t="s">
        <v>1188</v>
      </c>
      <c r="E240" s="249" t="s">
        <v>513</v>
      </c>
      <c r="F240" s="928">
        <f>0.1*0.095</f>
        <v>9.5000000000000015E-3</v>
      </c>
      <c r="G240" s="269"/>
      <c r="H240" s="270"/>
      <c r="I240" s="270"/>
      <c r="J240" s="271"/>
      <c r="K240" s="623"/>
      <c r="L240" s="249"/>
      <c r="M240" s="563"/>
      <c r="N240" s="1002">
        <f>IFERROR(IF(E240=FAAS!$B$81,I240,VLOOKUP(E240,FAAS!$K$113:$L$134,2,FALSE)),"")</f>
        <v>79</v>
      </c>
      <c r="O240" s="1002">
        <f t="shared" si="12"/>
        <v>0.75050000000000017</v>
      </c>
      <c r="P240" s="1002">
        <f>IFERROR(IF(VLOOKUP(B240,'Dados gerais'!$D$33:$F$35,3,FALSE)="",VLOOKUP('Outras emissões de processo'!B240,'Fatores de Emissão'!$B$12:$E$14,3, FALSE),VLOOKUP(B240,'Dados gerais'!$D$33:$F$35,3,FALSE)),"")</f>
        <v>2.6666666666666665</v>
      </c>
      <c r="Q240" s="1002">
        <f t="shared" si="13"/>
        <v>0.28143750000000006</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46.8" outlineLevel="2" x14ac:dyDescent="0.3">
      <c r="B241" s="269" t="s">
        <v>1077</v>
      </c>
      <c r="C241" s="962" t="s">
        <v>1663</v>
      </c>
      <c r="D241" s="250" t="s">
        <v>1188</v>
      </c>
      <c r="E241" s="249" t="s">
        <v>412</v>
      </c>
      <c r="F241" s="928">
        <f>0.9*10.164</f>
        <v>9.1476000000000006</v>
      </c>
      <c r="G241" s="269"/>
      <c r="H241" s="270"/>
      <c r="I241" s="270"/>
      <c r="J241" s="271"/>
      <c r="K241" s="623"/>
      <c r="L241" s="249"/>
      <c r="M241" s="563"/>
      <c r="N241" s="1002">
        <f>IFERROR(IF(E241=FAAS!$B$81,I241,VLOOKUP(E241,FAAS!$K$113:$L$134,2,FALSE)),"")</f>
        <v>32.980016652789345</v>
      </c>
      <c r="O241" s="1002">
        <f t="shared" si="12"/>
        <v>301.68800033305581</v>
      </c>
      <c r="P241" s="1002">
        <f>IFERROR(IF(VLOOKUP(B241,'Dados gerais'!$D$33:$F$35,3,FALSE)="",VLOOKUP('Outras emissões de processo'!B241,'Fatores de Emissão'!$B$12:$E$14,3, FALSE),VLOOKUP(B241,'Dados gerais'!$D$33:$F$35,3,FALSE)),"")</f>
        <v>2.6666666666666665</v>
      </c>
      <c r="Q241" s="1002">
        <f t="shared" si="13"/>
        <v>113.13300012489593</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outlineLevel="2" x14ac:dyDescent="0.3">
      <c r="B242" s="269" t="s">
        <v>1077</v>
      </c>
      <c r="C242" s="962" t="s">
        <v>1663</v>
      </c>
      <c r="D242" s="250" t="s">
        <v>1188</v>
      </c>
      <c r="E242" s="249" t="s">
        <v>513</v>
      </c>
      <c r="F242" s="928">
        <f>0.1*10.164</f>
        <v>1.0164</v>
      </c>
      <c r="G242" s="269"/>
      <c r="H242" s="270"/>
      <c r="I242" s="270"/>
      <c r="J242" s="271"/>
      <c r="K242" s="623"/>
      <c r="L242" s="249"/>
      <c r="M242" s="563"/>
      <c r="N242" s="1002">
        <f>IFERROR(IF(E242=FAAS!$B$81,I242,VLOOKUP(E242,FAAS!$K$113:$L$134,2,FALSE)),"")</f>
        <v>79</v>
      </c>
      <c r="O242" s="1002">
        <f t="shared" si="12"/>
        <v>80.295599999999993</v>
      </c>
      <c r="P242" s="1002">
        <f>IFERROR(IF(VLOOKUP(B242,'Dados gerais'!$D$33:$F$35,3,FALSE)="",VLOOKUP('Outras emissões de processo'!B242,'Fatores de Emissão'!$B$12:$E$14,3, FALSE),VLOOKUP(B242,'Dados gerais'!$D$33:$F$35,3,FALSE)),"")</f>
        <v>2.6666666666666665</v>
      </c>
      <c r="Q242" s="1002">
        <f t="shared" si="13"/>
        <v>30.110849999999999</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46.8" outlineLevel="2" x14ac:dyDescent="0.3">
      <c r="B243" s="269" t="s">
        <v>37</v>
      </c>
      <c r="C243" s="962" t="s">
        <v>1663</v>
      </c>
      <c r="D243" s="250" t="s">
        <v>1189</v>
      </c>
      <c r="E243" s="249"/>
      <c r="F243" s="928"/>
      <c r="G243" s="269" t="s">
        <v>414</v>
      </c>
      <c r="H243" s="270"/>
      <c r="I243" s="270"/>
      <c r="J243" s="271"/>
      <c r="K243" s="623">
        <f>+F241+F242</f>
        <v>10.164000000000001</v>
      </c>
      <c r="L243" s="249"/>
      <c r="M243" s="563"/>
      <c r="N243" s="1002" t="str">
        <f>IFERROR(IF(E243=FAAS!$B$81,I243,VLOOKUP(E243,FAAS!$K$113:$L$134,2,FALSE)),"")</f>
        <v/>
      </c>
      <c r="O243" s="1002" t="str">
        <f t="shared" si="12"/>
        <v/>
      </c>
      <c r="P243" s="1002">
        <f>IFERROR(IF(VLOOKUP(B243,'Dados gerais'!$D$33:$F$35,3,FALSE)="",VLOOKUP('Outras emissões de processo'!B243,'Fatores de Emissão'!$B$12:$E$14,3, FALSE),VLOOKUP(B243,'Dados gerais'!$D$33:$F$35,3,FALSE)),"")</f>
        <v>40</v>
      </c>
      <c r="Q243" s="1002" t="str">
        <f t="shared" si="13"/>
        <v/>
      </c>
      <c r="R243" s="575">
        <f>IFERROR(IF(G243=FAAS!$K$135,'Outras emissões de processo'!I243,VLOOKUP(G243,FAAS!$B$63:$J$82,9,FALSE)),"")</f>
        <v>7.0332457953372192</v>
      </c>
      <c r="S243" s="575">
        <f t="shared" si="8"/>
        <v>71.485910263807511</v>
      </c>
      <c r="T243" s="575">
        <f t="shared" si="9"/>
        <v>2859.4364105523005</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46.8" outlineLevel="2" x14ac:dyDescent="0.3">
      <c r="B244" s="269" t="s">
        <v>1077</v>
      </c>
      <c r="C244" s="962" t="s">
        <v>1664</v>
      </c>
      <c r="D244" s="250" t="s">
        <v>1188</v>
      </c>
      <c r="E244" s="249" t="s">
        <v>412</v>
      </c>
      <c r="F244" s="928">
        <f>0.9*0.77</f>
        <v>0.69300000000000006</v>
      </c>
      <c r="G244" s="269"/>
      <c r="H244" s="270"/>
      <c r="I244" s="270"/>
      <c r="J244" s="271"/>
      <c r="K244" s="623"/>
      <c r="L244" s="249"/>
      <c r="M244" s="563"/>
      <c r="N244" s="1002">
        <f>IFERROR(IF(E244=FAAS!$B$81,I244,VLOOKUP(E244,FAAS!$K$113:$L$134,2,FALSE)),"")</f>
        <v>32.980016652789345</v>
      </c>
      <c r="O244" s="1002">
        <f t="shared" si="12"/>
        <v>22.855151540383019</v>
      </c>
      <c r="P244" s="1002">
        <f>IFERROR(IF(VLOOKUP(B244,'Dados gerais'!$D$33:$F$35,3,FALSE)="",VLOOKUP('Outras emissões de processo'!B244,'Fatores de Emissão'!$B$12:$E$14,3, FALSE),VLOOKUP(B244,'Dados gerais'!$D$33:$F$35,3,FALSE)),"")</f>
        <v>2.6666666666666665</v>
      </c>
      <c r="Q244" s="1002">
        <f t="shared" si="13"/>
        <v>8.5706818276436323</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46.8" outlineLevel="2" x14ac:dyDescent="0.3">
      <c r="B245" s="269" t="s">
        <v>1077</v>
      </c>
      <c r="C245" s="962" t="s">
        <v>1664</v>
      </c>
      <c r="D245" s="250" t="s">
        <v>1189</v>
      </c>
      <c r="E245" s="249"/>
      <c r="F245" s="928"/>
      <c r="G245" s="269" t="s">
        <v>513</v>
      </c>
      <c r="H245" s="270"/>
      <c r="I245" s="270"/>
      <c r="J245" s="271"/>
      <c r="K245" s="623">
        <f>0.1*0.77</f>
        <v>7.7000000000000013E-2</v>
      </c>
      <c r="L245" s="249"/>
      <c r="M245" s="563"/>
      <c r="N245" s="1002" t="str">
        <f>IFERROR(IF(E245=FAAS!$B$81,I245,VLOOKUP(E245,FAAS!$K$113:$L$134,2,FALSE)),"")</f>
        <v/>
      </c>
      <c r="O245" s="1002" t="str">
        <f t="shared" si="12"/>
        <v/>
      </c>
      <c r="P245" s="1002">
        <f>IFERROR(IF(VLOOKUP(B245,'Dados gerais'!$D$33:$F$35,3,FALSE)="",VLOOKUP('Outras emissões de processo'!B245,'Fatores de Emissão'!$B$12:$E$14,3, FALSE),VLOOKUP(B245,'Dados gerais'!$D$33:$F$35,3,FALSE)),"")</f>
        <v>2.6666666666666665</v>
      </c>
      <c r="Q245" s="1002" t="str">
        <f t="shared" si="13"/>
        <v/>
      </c>
      <c r="R245" s="575">
        <f>IFERROR(IF(G245=FAAS!$K$135,'Outras emissões de processo'!I245,VLOOKUP(G245,FAAS!$B$63:$J$82,9,FALSE)),"")</f>
        <v>1.1954817405923699</v>
      </c>
      <c r="S245" s="575">
        <f t="shared" si="8"/>
        <v>9.2052094025612499E-2</v>
      </c>
      <c r="T245" s="575">
        <f t="shared" si="9"/>
        <v>0.24547225073496665</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46.8" outlineLevel="2" x14ac:dyDescent="0.3">
      <c r="B246" s="269" t="s">
        <v>37</v>
      </c>
      <c r="C246" s="962" t="s">
        <v>1664</v>
      </c>
      <c r="D246" s="250" t="s">
        <v>1189</v>
      </c>
      <c r="E246" s="249"/>
      <c r="F246" s="928"/>
      <c r="G246" s="269" t="s">
        <v>513</v>
      </c>
      <c r="H246" s="270"/>
      <c r="I246" s="270"/>
      <c r="J246" s="271"/>
      <c r="K246" s="623">
        <f>+K245+F244</f>
        <v>0.77</v>
      </c>
      <c r="L246" s="249"/>
      <c r="M246" s="563"/>
      <c r="N246" s="1002" t="str">
        <f>IFERROR(IF(E246=FAAS!$B$81,I246,VLOOKUP(E246,FAAS!$K$113:$L$134,2,FALSE)),"")</f>
        <v/>
      </c>
      <c r="O246" s="1002" t="str">
        <f t="shared" si="12"/>
        <v/>
      </c>
      <c r="P246" s="1002">
        <f>IFERROR(IF(VLOOKUP(B246,'Dados gerais'!$D$33:$F$35,3,FALSE)="",VLOOKUP('Outras emissões de processo'!B246,'Fatores de Emissão'!$B$12:$E$14,3, FALSE),VLOOKUP(B246,'Dados gerais'!$D$33:$F$35,3,FALSE)),"")</f>
        <v>40</v>
      </c>
      <c r="Q246" s="1002" t="str">
        <f t="shared" si="13"/>
        <v/>
      </c>
      <c r="R246" s="575">
        <f>IFERROR(IF(G246=FAAS!$K$135,'Outras emissões de processo'!I246,VLOOKUP(G246,FAAS!$B$63:$J$82,9,FALSE)),"")</f>
        <v>1.1954817405923699</v>
      </c>
      <c r="S246" s="575">
        <f t="shared" si="8"/>
        <v>0.92052094025612485</v>
      </c>
      <c r="T246" s="575">
        <f t="shared" si="9"/>
        <v>36.820837610244993</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46.8" outlineLevel="2" x14ac:dyDescent="0.3">
      <c r="B247" s="269" t="s">
        <v>1077</v>
      </c>
      <c r="C247" s="962" t="s">
        <v>1665</v>
      </c>
      <c r="D247" s="250" t="s">
        <v>1189</v>
      </c>
      <c r="E247" s="249"/>
      <c r="F247" s="928"/>
      <c r="G247" s="269" t="s">
        <v>412</v>
      </c>
      <c r="H247" s="270"/>
      <c r="I247" s="270"/>
      <c r="J247" s="271"/>
      <c r="K247" s="623">
        <f>0.9*12.674</f>
        <v>11.406599999999999</v>
      </c>
      <c r="L247" s="249"/>
      <c r="M247" s="563"/>
      <c r="N247" s="1002" t="str">
        <f>IFERROR(IF(E247=FAAS!$B$81,I247,VLOOKUP(E247,FAAS!$K$113:$L$134,2,FALSE)),"")</f>
        <v/>
      </c>
      <c r="O247" s="1002" t="str">
        <f t="shared" si="12"/>
        <v/>
      </c>
      <c r="P247" s="1002">
        <f>IFERROR(IF(VLOOKUP(B247,'Dados gerais'!$D$33:$F$35,3,FALSE)="",VLOOKUP('Outras emissões de processo'!B247,'Fatores de Emissão'!$B$12:$E$14,3, FALSE),VLOOKUP(B247,'Dados gerais'!$D$33:$F$35,3,FALSE)),"")</f>
        <v>2.6666666666666665</v>
      </c>
      <c r="Q247" s="1002" t="str">
        <f t="shared" si="13"/>
        <v/>
      </c>
      <c r="R247" s="575">
        <f>IFERROR(IF(G247=FAAS!$K$135,'Outras emissões de processo'!I247,VLOOKUP(G247,FAAS!$B$63:$J$82,9,FALSE)),"")</f>
        <v>0.88818482847626967</v>
      </c>
      <c r="S247" s="575">
        <f t="shared" si="8"/>
        <v>10.131169064497417</v>
      </c>
      <c r="T247" s="575">
        <f t="shared" si="9"/>
        <v>27.016450838659779</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46.8" outlineLevel="2" x14ac:dyDescent="0.3">
      <c r="B248" s="269" t="s">
        <v>1077</v>
      </c>
      <c r="C248" s="962" t="s">
        <v>1665</v>
      </c>
      <c r="D248" s="250" t="s">
        <v>1189</v>
      </c>
      <c r="E248" s="249"/>
      <c r="F248" s="928"/>
      <c r="G248" s="269" t="s">
        <v>513</v>
      </c>
      <c r="H248" s="270"/>
      <c r="I248" s="270"/>
      <c r="J248" s="271"/>
      <c r="K248" s="623">
        <f>0.1*12.674</f>
        <v>1.2674000000000001</v>
      </c>
      <c r="L248" s="249"/>
      <c r="M248" s="563"/>
      <c r="N248" s="1002" t="str">
        <f>IFERROR(IF(E248=FAAS!$B$81,I248,VLOOKUP(E248,FAAS!$K$113:$L$134,2,FALSE)),"")</f>
        <v/>
      </c>
      <c r="O248" s="1002" t="str">
        <f t="shared" si="12"/>
        <v/>
      </c>
      <c r="P248" s="1002">
        <f>IFERROR(IF(VLOOKUP(B248,'Dados gerais'!$D$33:$F$35,3,FALSE)="",VLOOKUP('Outras emissões de processo'!B248,'Fatores de Emissão'!$B$12:$E$14,3, FALSE),VLOOKUP(B248,'Dados gerais'!$D$33:$F$35,3,FALSE)),"")</f>
        <v>2.6666666666666665</v>
      </c>
      <c r="Q248" s="1002" t="str">
        <f t="shared" si="13"/>
        <v/>
      </c>
      <c r="R248" s="575">
        <f>IFERROR(IF(G248=FAAS!$K$135,'Outras emissões de processo'!I248,VLOOKUP(G248,FAAS!$B$63:$J$82,9,FALSE)),"")</f>
        <v>1.1954817405923699</v>
      </c>
      <c r="S248" s="575">
        <f t="shared" si="8"/>
        <v>1.5151535580267697</v>
      </c>
      <c r="T248" s="575">
        <f t="shared" si="9"/>
        <v>4.0404094880713854</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31.2" outlineLevel="2" x14ac:dyDescent="0.3">
      <c r="B249" s="269" t="s">
        <v>37</v>
      </c>
      <c r="C249" s="962" t="s">
        <v>1665</v>
      </c>
      <c r="D249" s="250" t="s">
        <v>1189</v>
      </c>
      <c r="E249" s="249"/>
      <c r="F249" s="928"/>
      <c r="G249" s="269" t="s">
        <v>412</v>
      </c>
      <c r="H249" s="270"/>
      <c r="I249" s="270"/>
      <c r="J249" s="271"/>
      <c r="K249" s="623">
        <f>+K247</f>
        <v>11.406599999999999</v>
      </c>
      <c r="L249" s="249"/>
      <c r="M249" s="563"/>
      <c r="N249" s="1002" t="str">
        <f>IFERROR(IF(E249=FAAS!$B$81,I249,VLOOKUP(E249,FAAS!$K$113:$L$134,2,FALSE)),"")</f>
        <v/>
      </c>
      <c r="O249" s="1002" t="str">
        <f t="shared" si="12"/>
        <v/>
      </c>
      <c r="P249" s="1002">
        <f>IFERROR(IF(VLOOKUP(B249,'Dados gerais'!$D$33:$F$35,3,FALSE)="",VLOOKUP('Outras emissões de processo'!B249,'Fatores de Emissão'!$B$12:$E$14,3, FALSE),VLOOKUP(B249,'Dados gerais'!$D$33:$F$35,3,FALSE)),"")</f>
        <v>40</v>
      </c>
      <c r="Q249" s="1002" t="str">
        <f t="shared" si="13"/>
        <v/>
      </c>
      <c r="R249" s="575">
        <f>IFERROR(IF(G249=FAAS!$K$135,'Outras emissões de processo'!I249,VLOOKUP(G249,FAAS!$B$63:$J$82,9,FALSE)),"")</f>
        <v>0.88818482847626967</v>
      </c>
      <c r="S249" s="575">
        <f t="shared" si="8"/>
        <v>10.131169064497417</v>
      </c>
      <c r="T249" s="575">
        <f t="shared" si="9"/>
        <v>405.24676257989665</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31.2" outlineLevel="2" x14ac:dyDescent="0.3">
      <c r="B250" s="269" t="s">
        <v>37</v>
      </c>
      <c r="C250" s="962" t="s">
        <v>1665</v>
      </c>
      <c r="D250" s="250" t="s">
        <v>1189</v>
      </c>
      <c r="E250" s="249"/>
      <c r="F250" s="928"/>
      <c r="G250" s="269" t="s">
        <v>513</v>
      </c>
      <c r="H250" s="270"/>
      <c r="I250" s="270"/>
      <c r="J250" s="271"/>
      <c r="K250" s="623">
        <f>+K248</f>
        <v>1.2674000000000001</v>
      </c>
      <c r="L250" s="249"/>
      <c r="M250" s="563"/>
      <c r="N250" s="1002" t="str">
        <f>IFERROR(IF(E250=FAAS!$B$81,I250,VLOOKUP(E250,FAAS!$K$113:$L$134,2,FALSE)),"")</f>
        <v/>
      </c>
      <c r="O250" s="1002" t="str">
        <f t="shared" si="12"/>
        <v/>
      </c>
      <c r="P250" s="1002">
        <f>IFERROR(IF(VLOOKUP(B250,'Dados gerais'!$D$33:$F$35,3,FALSE)="",VLOOKUP('Outras emissões de processo'!B250,'Fatores de Emissão'!$B$12:$E$14,3, FALSE),VLOOKUP(B250,'Dados gerais'!$D$33:$F$35,3,FALSE)),"")</f>
        <v>40</v>
      </c>
      <c r="Q250" s="1002" t="str">
        <f t="shared" si="13"/>
        <v/>
      </c>
      <c r="R250" s="575">
        <f>IFERROR(IF(G250=FAAS!$K$135,'Outras emissões de processo'!I250,VLOOKUP(G250,FAAS!$B$63:$J$82,9,FALSE)),"")</f>
        <v>1.1954817405923699</v>
      </c>
      <c r="S250" s="575">
        <f t="shared" si="8"/>
        <v>1.5151535580267697</v>
      </c>
      <c r="T250" s="575">
        <f t="shared" si="9"/>
        <v>60.606142321070784</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46.8" outlineLevel="2" x14ac:dyDescent="0.3">
      <c r="B251" s="269" t="s">
        <v>1077</v>
      </c>
      <c r="C251" s="962" t="s">
        <v>1666</v>
      </c>
      <c r="D251" s="250" t="s">
        <v>1188</v>
      </c>
      <c r="E251" s="249" t="s">
        <v>412</v>
      </c>
      <c r="F251" s="928">
        <f>0.9*0.006</f>
        <v>5.4000000000000003E-3</v>
      </c>
      <c r="G251" s="269"/>
      <c r="H251" s="270"/>
      <c r="I251" s="270"/>
      <c r="J251" s="271"/>
      <c r="K251" s="623"/>
      <c r="L251" s="249"/>
      <c r="M251" s="563"/>
      <c r="N251" s="1002">
        <f>IFERROR(IF(E251=FAAS!$B$81,I251,VLOOKUP(E251,FAAS!$K$113:$L$134,2,FALSE)),"")</f>
        <v>32.980016652789345</v>
      </c>
      <c r="O251" s="1002">
        <f t="shared" si="12"/>
        <v>0.17809208992506248</v>
      </c>
      <c r="P251" s="1002">
        <f>IFERROR(IF(VLOOKUP(B251,'Dados gerais'!$D$33:$F$35,3,FALSE)="",VLOOKUP('Outras emissões de processo'!B251,'Fatores de Emissão'!$B$12:$E$14,3, FALSE),VLOOKUP(B251,'Dados gerais'!$D$33:$F$35,3,FALSE)),"")</f>
        <v>2.6666666666666665</v>
      </c>
      <c r="Q251" s="1002">
        <f t="shared" si="13"/>
        <v>6.6784533721898437E-2</v>
      </c>
      <c r="R251" s="575" t="str">
        <f>IFERROR(IF(G251=FAAS!$K$135,'Outras emissões de processo'!I251,VLOOKUP(G251,FAAS!$B$63:$J$82,9,FALSE)),"")</f>
        <v/>
      </c>
      <c r="S251" s="575" t="str">
        <f t="shared" si="8"/>
        <v/>
      </c>
      <c r="T251" s="575" t="str">
        <f t="shared" si="9"/>
        <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outlineLevel="2" x14ac:dyDescent="0.3">
      <c r="B252" s="269" t="s">
        <v>1077</v>
      </c>
      <c r="C252" s="962" t="s">
        <v>1666</v>
      </c>
      <c r="D252" s="250" t="s">
        <v>1188</v>
      </c>
      <c r="E252" s="249" t="s">
        <v>513</v>
      </c>
      <c r="F252" s="928">
        <f>0.1*0.006</f>
        <v>6.0000000000000006E-4</v>
      </c>
      <c r="G252" s="269"/>
      <c r="H252" s="270"/>
      <c r="I252" s="270"/>
      <c r="J252" s="271"/>
      <c r="K252" s="623"/>
      <c r="L252" s="249"/>
      <c r="M252" s="563"/>
      <c r="N252" s="1002">
        <f>IFERROR(IF(E252=FAAS!$B$81,I252,VLOOKUP(E252,FAAS!$K$113:$L$134,2,FALSE)),"")</f>
        <v>79</v>
      </c>
      <c r="O252" s="1002">
        <f t="shared" si="12"/>
        <v>4.7400000000000005E-2</v>
      </c>
      <c r="P252" s="1002">
        <f>IFERROR(IF(VLOOKUP(B252,'Dados gerais'!$D$33:$F$35,3,FALSE)="",VLOOKUP('Outras emissões de processo'!B252,'Fatores de Emissão'!$B$12:$E$14,3, FALSE),VLOOKUP(B252,'Dados gerais'!$D$33:$F$35,3,FALSE)),"")</f>
        <v>2.6666666666666665</v>
      </c>
      <c r="Q252" s="1002">
        <f t="shared" si="13"/>
        <v>1.7775000000000003E-2</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46.8" outlineLevel="2" x14ac:dyDescent="0.3">
      <c r="B253" s="269" t="s">
        <v>1077</v>
      </c>
      <c r="C253" s="962" t="s">
        <v>1667</v>
      </c>
      <c r="D253" s="250" t="s">
        <v>1189</v>
      </c>
      <c r="E253" s="249"/>
      <c r="F253" s="928"/>
      <c r="G253" s="269" t="s">
        <v>413</v>
      </c>
      <c r="H253" s="270"/>
      <c r="I253" s="270"/>
      <c r="J253" s="271"/>
      <c r="K253" s="623">
        <v>8.3000000000000004E-2</v>
      </c>
      <c r="L253" s="249"/>
      <c r="M253" s="563"/>
      <c r="N253" s="1002" t="str">
        <f>IFERROR(IF(E253=FAAS!$B$81,I253,VLOOKUP(E253,FAAS!$K$113:$L$134,2,FALSE)),"")</f>
        <v/>
      </c>
      <c r="O253" s="1002" t="str">
        <f t="shared" si="12"/>
        <v/>
      </c>
      <c r="P253" s="1002">
        <f>IFERROR(IF(VLOOKUP(B253,'Dados gerais'!$D$33:$F$35,3,FALSE)="",VLOOKUP('Outras emissões de processo'!B253,'Fatores de Emissão'!$B$12:$E$14,3, FALSE),VLOOKUP(B253,'Dados gerais'!$D$33:$F$35,3,FALSE)),"")</f>
        <v>2.6666666666666665</v>
      </c>
      <c r="Q253" s="1002" t="str">
        <f t="shared" si="13"/>
        <v/>
      </c>
      <c r="R253" s="575">
        <f>IFERROR(IF(G253=FAAS!$K$135,'Outras emissões de processo'!I253,VLOOKUP(G253,FAAS!$B$63:$J$82,9,FALSE)),"")</f>
        <v>0.99160832847626967</v>
      </c>
      <c r="S253" s="575">
        <f t="shared" si="8"/>
        <v>8.2303491263530384E-2</v>
      </c>
      <c r="T253" s="575">
        <f t="shared" si="9"/>
        <v>0.21947597670274768</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31.2" outlineLevel="2" x14ac:dyDescent="0.3">
      <c r="B254" s="269" t="s">
        <v>37</v>
      </c>
      <c r="C254" s="962" t="s">
        <v>1667</v>
      </c>
      <c r="D254" s="250" t="s">
        <v>1189</v>
      </c>
      <c r="E254" s="249"/>
      <c r="F254" s="928"/>
      <c r="G254" s="269" t="s">
        <v>413</v>
      </c>
      <c r="H254" s="270"/>
      <c r="I254" s="270"/>
      <c r="J254" s="271"/>
      <c r="K254" s="623">
        <f>+K253</f>
        <v>8.3000000000000004E-2</v>
      </c>
      <c r="L254" s="249"/>
      <c r="M254" s="563"/>
      <c r="N254" s="1002" t="str">
        <f>IFERROR(IF(E254=FAAS!$B$81,I254,VLOOKUP(E254,FAAS!$K$113:$L$134,2,FALSE)),"")</f>
        <v/>
      </c>
      <c r="O254" s="1002" t="str">
        <f t="shared" si="12"/>
        <v/>
      </c>
      <c r="P254" s="1002">
        <f>IFERROR(IF(VLOOKUP(B254,'Dados gerais'!$D$33:$F$35,3,FALSE)="",VLOOKUP('Outras emissões de processo'!B254,'Fatores de Emissão'!$B$12:$E$14,3, FALSE),VLOOKUP(B254,'Dados gerais'!$D$33:$F$35,3,FALSE)),"")</f>
        <v>40</v>
      </c>
      <c r="Q254" s="1002" t="str">
        <f t="shared" si="13"/>
        <v/>
      </c>
      <c r="R254" s="575">
        <f>IFERROR(IF(G254=FAAS!$K$135,'Outras emissões de processo'!I254,VLOOKUP(G254,FAAS!$B$63:$J$82,9,FALSE)),"")</f>
        <v>0.99160832847626967</v>
      </c>
      <c r="S254" s="575">
        <f t="shared" si="8"/>
        <v>8.2303491263530384E-2</v>
      </c>
      <c r="T254" s="575">
        <f t="shared" si="9"/>
        <v>3.2921396505412153</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46.8" outlineLevel="2" x14ac:dyDescent="0.3">
      <c r="B255" s="269" t="s">
        <v>1077</v>
      </c>
      <c r="C255" s="962" t="s">
        <v>1668</v>
      </c>
      <c r="D255" s="250" t="s">
        <v>1188</v>
      </c>
      <c r="E255" s="249" t="s">
        <v>513</v>
      </c>
      <c r="F255" s="928">
        <v>0.29799999999999999</v>
      </c>
      <c r="G255" s="269"/>
      <c r="H255" s="270"/>
      <c r="I255" s="270"/>
      <c r="J255" s="271"/>
      <c r="K255" s="623"/>
      <c r="L255" s="249"/>
      <c r="M255" s="563"/>
      <c r="N255" s="1002">
        <f>IFERROR(IF(E255=FAAS!$B$81,I255,VLOOKUP(E255,FAAS!$K$113:$L$134,2,FALSE)),"")</f>
        <v>79</v>
      </c>
      <c r="O255" s="1002">
        <f t="shared" si="12"/>
        <v>23.541999999999998</v>
      </c>
      <c r="P255" s="1002">
        <f>IFERROR(IF(VLOOKUP(B255,'Dados gerais'!$D$33:$F$35,3,FALSE)="",VLOOKUP('Outras emissões de processo'!B255,'Fatores de Emissão'!$B$12:$E$14,3, FALSE),VLOOKUP(B255,'Dados gerais'!$D$33:$F$35,3,FALSE)),"")</f>
        <v>2.6666666666666665</v>
      </c>
      <c r="Q255" s="1002">
        <f t="shared" si="13"/>
        <v>8.8282500000000006</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46.8" outlineLevel="2" x14ac:dyDescent="0.3">
      <c r="B256" s="269" t="s">
        <v>1077</v>
      </c>
      <c r="C256" s="962" t="s">
        <v>1669</v>
      </c>
      <c r="D256" s="250" t="s">
        <v>1188</v>
      </c>
      <c r="E256" s="249" t="s">
        <v>513</v>
      </c>
      <c r="F256" s="928">
        <v>3.5000000000000003E-2</v>
      </c>
      <c r="G256" s="269"/>
      <c r="H256" s="270"/>
      <c r="I256" s="270"/>
      <c r="J256" s="271"/>
      <c r="K256" s="623"/>
      <c r="L256" s="249"/>
      <c r="M256" s="563"/>
      <c r="N256" s="1002">
        <f>IFERROR(IF(E256=FAAS!$B$81,I256,VLOOKUP(E256,FAAS!$K$113:$L$134,2,FALSE)),"")</f>
        <v>79</v>
      </c>
      <c r="O256" s="1002">
        <f t="shared" si="12"/>
        <v>2.7650000000000001</v>
      </c>
      <c r="P256" s="1002">
        <f>IFERROR(IF(VLOOKUP(B256,'Dados gerais'!$D$33:$F$35,3,FALSE)="",VLOOKUP('Outras emissões de processo'!B256,'Fatores de Emissão'!$B$12:$E$14,3, FALSE),VLOOKUP(B256,'Dados gerais'!$D$33:$F$35,3,FALSE)),"")</f>
        <v>2.6666666666666665</v>
      </c>
      <c r="Q256" s="1002">
        <f t="shared" si="13"/>
        <v>1.0368750000000002</v>
      </c>
      <c r="R256" s="575" t="str">
        <f>IFERROR(IF(G256=FAAS!$K$135,'Outras emissões de processo'!I256,VLOOKUP(G256,FAAS!$B$63:$J$82,9,FALSE)),"")</f>
        <v/>
      </c>
      <c r="S256" s="575" t="str">
        <f t="shared" si="8"/>
        <v/>
      </c>
      <c r="T256" s="575" t="str">
        <f t="shared" si="9"/>
        <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46.8" outlineLevel="2" x14ac:dyDescent="0.3">
      <c r="B257" s="269" t="s">
        <v>37</v>
      </c>
      <c r="C257" s="962" t="s">
        <v>1669</v>
      </c>
      <c r="D257" s="250" t="s">
        <v>1189</v>
      </c>
      <c r="E257" s="249"/>
      <c r="F257" s="928"/>
      <c r="G257" s="269" t="s">
        <v>414</v>
      </c>
      <c r="H257" s="270"/>
      <c r="I257" s="270"/>
      <c r="J257" s="271"/>
      <c r="K257" s="623">
        <f>+F256</f>
        <v>3.5000000000000003E-2</v>
      </c>
      <c r="L257" s="249"/>
      <c r="M257" s="563"/>
      <c r="N257" s="1002" t="str">
        <f>IFERROR(IF(E257=FAAS!$B$81,I257,VLOOKUP(E257,FAAS!$K$113:$L$134,2,FALSE)),"")</f>
        <v/>
      </c>
      <c r="O257" s="1002" t="str">
        <f t="shared" si="12"/>
        <v/>
      </c>
      <c r="P257" s="1002">
        <f>IFERROR(IF(VLOOKUP(B257,'Dados gerais'!$D$33:$F$35,3,FALSE)="",VLOOKUP('Outras emissões de processo'!B257,'Fatores de Emissão'!$B$12:$E$14,3, FALSE),VLOOKUP(B257,'Dados gerais'!$D$33:$F$35,3,FALSE)),"")</f>
        <v>40</v>
      </c>
      <c r="Q257" s="1002" t="str">
        <f t="shared" si="13"/>
        <v/>
      </c>
      <c r="R257" s="575">
        <f>IFERROR(IF(G257=FAAS!$K$135,'Outras emissões de processo'!I257,VLOOKUP(G257,FAAS!$B$63:$J$82,9,FALSE)),"")</f>
        <v>7.0332457953372192</v>
      </c>
      <c r="S257" s="575">
        <f t="shared" si="8"/>
        <v>0.24616360283680269</v>
      </c>
      <c r="T257" s="575">
        <f t="shared" si="9"/>
        <v>9.8465441134721079</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46.8" outlineLevel="2" x14ac:dyDescent="0.3">
      <c r="B258" s="269" t="s">
        <v>1077</v>
      </c>
      <c r="C258" s="962" t="s">
        <v>1670</v>
      </c>
      <c r="D258" s="250" t="s">
        <v>1189</v>
      </c>
      <c r="E258" s="249"/>
      <c r="F258" s="928"/>
      <c r="G258" s="269" t="s">
        <v>513</v>
      </c>
      <c r="H258" s="270"/>
      <c r="I258" s="270"/>
      <c r="J258" s="271"/>
      <c r="K258" s="623">
        <f>0.012+0.062+320.315</f>
        <v>320.38900000000001</v>
      </c>
      <c r="L258" s="249"/>
      <c r="M258" s="563"/>
      <c r="N258" s="1002" t="str">
        <f>IFERROR(IF(E258=FAAS!$B$81,I258,VLOOKUP(E258,FAAS!$K$113:$L$134,2,FALSE)),"")</f>
        <v/>
      </c>
      <c r="O258" s="1002" t="str">
        <f t="shared" si="12"/>
        <v/>
      </c>
      <c r="P258" s="1002">
        <f>IFERROR(IF(VLOOKUP(B258,'Dados gerais'!$D$33:$F$35,3,FALSE)="",VLOOKUP('Outras emissões de processo'!B258,'Fatores de Emissão'!$B$12:$E$14,3, FALSE),VLOOKUP(B258,'Dados gerais'!$D$33:$F$35,3,FALSE)),"")</f>
        <v>2.6666666666666665</v>
      </c>
      <c r="Q258" s="1002" t="str">
        <f t="shared" si="13"/>
        <v/>
      </c>
      <c r="R258" s="575">
        <f>IFERROR(IF(G258=FAAS!$K$135,'Outras emissões de processo'!I258,VLOOKUP(G258,FAAS!$B$63:$J$82,9,FALSE)),"")</f>
        <v>1.1954817405923699</v>
      </c>
      <c r="S258" s="575">
        <f t="shared" si="8"/>
        <v>383.01919938664884</v>
      </c>
      <c r="T258" s="575">
        <f t="shared" si="9"/>
        <v>1021.3845316977302</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31.2" outlineLevel="2" x14ac:dyDescent="0.3">
      <c r="B259" s="269" t="s">
        <v>37</v>
      </c>
      <c r="C259" s="962" t="s">
        <v>1670</v>
      </c>
      <c r="D259" s="250" t="s">
        <v>1189</v>
      </c>
      <c r="E259" s="249"/>
      <c r="F259" s="928"/>
      <c r="G259" s="269" t="s">
        <v>513</v>
      </c>
      <c r="H259" s="270"/>
      <c r="I259" s="270"/>
      <c r="J259" s="271"/>
      <c r="K259" s="623">
        <f>+K258</f>
        <v>320.38900000000001</v>
      </c>
      <c r="L259" s="249"/>
      <c r="M259" s="563"/>
      <c r="N259" s="1002" t="str">
        <f>IFERROR(IF(E259=FAAS!$B$81,I259,VLOOKUP(E259,FAAS!$K$113:$L$134,2,FALSE)),"")</f>
        <v/>
      </c>
      <c r="O259" s="1002" t="str">
        <f t="shared" si="12"/>
        <v/>
      </c>
      <c r="P259" s="1002">
        <f>IFERROR(IF(VLOOKUP(B259,'Dados gerais'!$D$33:$F$35,3,FALSE)="",VLOOKUP('Outras emissões de processo'!B259,'Fatores de Emissão'!$B$12:$E$14,3, FALSE),VLOOKUP(B259,'Dados gerais'!$D$33:$F$35,3,FALSE)),"")</f>
        <v>40</v>
      </c>
      <c r="Q259" s="1002" t="str">
        <f t="shared" si="13"/>
        <v/>
      </c>
      <c r="R259" s="575">
        <f>IFERROR(IF(G259=FAAS!$K$135,'Outras emissões de processo'!I259,VLOOKUP(G259,FAAS!$B$63:$J$82,9,FALSE)),"")</f>
        <v>1.1954817405923699</v>
      </c>
      <c r="S259" s="575">
        <f t="shared" si="8"/>
        <v>383.01919938664884</v>
      </c>
      <c r="T259" s="575">
        <f t="shared" si="9"/>
        <v>15320.767975465953</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46.8" outlineLevel="2" x14ac:dyDescent="0.3">
      <c r="B260" s="269" t="s">
        <v>1077</v>
      </c>
      <c r="C260" s="962" t="s">
        <v>1671</v>
      </c>
      <c r="D260" s="250" t="s">
        <v>1188</v>
      </c>
      <c r="E260" s="249" t="s">
        <v>513</v>
      </c>
      <c r="F260" s="928">
        <f>0.9*0.036</f>
        <v>3.2399999999999998E-2</v>
      </c>
      <c r="G260" s="269"/>
      <c r="H260" s="270"/>
      <c r="I260" s="270"/>
      <c r="J260" s="271"/>
      <c r="K260" s="623"/>
      <c r="L260" s="249"/>
      <c r="M260" s="563"/>
      <c r="N260" s="1002">
        <f>IFERROR(IF(E260=FAAS!$B$81,I260,VLOOKUP(E260,FAAS!$K$113:$L$134,2,FALSE)),"")</f>
        <v>79</v>
      </c>
      <c r="O260" s="1002">
        <f t="shared" si="12"/>
        <v>2.5595999999999997</v>
      </c>
      <c r="P260" s="1002">
        <f>IFERROR(IF(VLOOKUP(B260,'Dados gerais'!$D$33:$F$35,3,FALSE)="",VLOOKUP('Outras emissões de processo'!B260,'Fatores de Emissão'!$B$12:$E$14,3, FALSE),VLOOKUP(B260,'Dados gerais'!$D$33:$F$35,3,FALSE)),"")</f>
        <v>2.6666666666666665</v>
      </c>
      <c r="Q260" s="1002">
        <f t="shared" si="13"/>
        <v>0.95984999999999987</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46.8" outlineLevel="2" x14ac:dyDescent="0.3">
      <c r="B261" s="269" t="s">
        <v>1077</v>
      </c>
      <c r="C261" s="962" t="s">
        <v>1672</v>
      </c>
      <c r="D261" s="250" t="s">
        <v>1188</v>
      </c>
      <c r="E261" s="249" t="s">
        <v>513</v>
      </c>
      <c r="F261" s="928">
        <f>0.9*0.001</f>
        <v>9.0000000000000008E-4</v>
      </c>
      <c r="G261" s="269"/>
      <c r="H261" s="270"/>
      <c r="I261" s="270"/>
      <c r="J261" s="271"/>
      <c r="K261" s="623"/>
      <c r="L261" s="249"/>
      <c r="M261" s="563"/>
      <c r="N261" s="1002">
        <f>IFERROR(IF(E261=FAAS!$B$81,I261,VLOOKUP(E261,FAAS!$K$113:$L$134,2,FALSE)),"")</f>
        <v>79</v>
      </c>
      <c r="O261" s="1002">
        <f t="shared" si="12"/>
        <v>7.110000000000001E-2</v>
      </c>
      <c r="P261" s="1002">
        <f>IFERROR(IF(VLOOKUP(B261,'Dados gerais'!$D$33:$F$35,3,FALSE)="",VLOOKUP('Outras emissões de processo'!B261,'Fatores de Emissão'!$B$12:$E$14,3, FALSE),VLOOKUP(B261,'Dados gerais'!$D$33:$F$35,3,FALSE)),"")</f>
        <v>2.6666666666666665</v>
      </c>
      <c r="Q261" s="1002">
        <f t="shared" si="13"/>
        <v>2.6662500000000006E-2</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46.8" outlineLevel="2" x14ac:dyDescent="0.3">
      <c r="B262" s="269" t="s">
        <v>37</v>
      </c>
      <c r="C262" s="962" t="s">
        <v>1672</v>
      </c>
      <c r="D262" s="250" t="s">
        <v>1189</v>
      </c>
      <c r="E262" s="249"/>
      <c r="F262" s="928"/>
      <c r="G262" s="269" t="s">
        <v>414</v>
      </c>
      <c r="H262" s="270"/>
      <c r="I262" s="270"/>
      <c r="J262" s="271"/>
      <c r="K262" s="623">
        <f>+F261</f>
        <v>9.0000000000000008E-4</v>
      </c>
      <c r="L262" s="249"/>
      <c r="M262" s="563"/>
      <c r="N262" s="1002" t="str">
        <f>IFERROR(IF(E262=FAAS!$B$81,I262,VLOOKUP(E262,FAAS!$K$113:$L$134,2,FALSE)),"")</f>
        <v/>
      </c>
      <c r="O262" s="1002" t="str">
        <f t="shared" si="12"/>
        <v/>
      </c>
      <c r="P262" s="1002">
        <f>IFERROR(IF(VLOOKUP(B262,'Dados gerais'!$D$33:$F$35,3,FALSE)="",VLOOKUP('Outras emissões de processo'!B262,'Fatores de Emissão'!$B$12:$E$14,3, FALSE),VLOOKUP(B262,'Dados gerais'!$D$33:$F$35,3,FALSE)),"")</f>
        <v>40</v>
      </c>
      <c r="Q262" s="1002" t="str">
        <f t="shared" si="13"/>
        <v/>
      </c>
      <c r="R262" s="575">
        <f>IFERROR(IF(G262=FAAS!$K$135,'Outras emissões de processo'!I262,VLOOKUP(G262,FAAS!$B$63:$J$82,9,FALSE)),"")</f>
        <v>7.0332457953372192</v>
      </c>
      <c r="S262" s="575">
        <f t="shared" si="8"/>
        <v>6.329921215803498E-3</v>
      </c>
      <c r="T262" s="575">
        <f t="shared" si="9"/>
        <v>0.25319684863213993</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46.8" outlineLevel="2" x14ac:dyDescent="0.3">
      <c r="B263" s="269" t="s">
        <v>1077</v>
      </c>
      <c r="C263" s="962" t="s">
        <v>1673</v>
      </c>
      <c r="D263" s="250" t="s">
        <v>1189</v>
      </c>
      <c r="E263" s="249"/>
      <c r="F263" s="928"/>
      <c r="G263" s="269" t="s">
        <v>513</v>
      </c>
      <c r="H263" s="270"/>
      <c r="I263" s="270"/>
      <c r="J263" s="271"/>
      <c r="K263" s="623">
        <f>0.9*68.156</f>
        <v>61.34040000000001</v>
      </c>
      <c r="L263" s="249"/>
      <c r="M263" s="563"/>
      <c r="N263" s="1002" t="str">
        <f>IFERROR(IF(E263=FAAS!$B$81,I263,VLOOKUP(E263,FAAS!$K$113:$L$134,2,FALSE)),"")</f>
        <v/>
      </c>
      <c r="O263" s="1002" t="str">
        <f t="shared" si="12"/>
        <v/>
      </c>
      <c r="P263" s="1002">
        <f>IFERROR(IF(VLOOKUP(B263,'Dados gerais'!$D$33:$F$35,3,FALSE)="",VLOOKUP('Outras emissões de processo'!B263,'Fatores de Emissão'!$B$12:$E$14,3, FALSE),VLOOKUP(B263,'Dados gerais'!$D$33:$F$35,3,FALSE)),"")</f>
        <v>2.6666666666666665</v>
      </c>
      <c r="Q263" s="1002" t="str">
        <f t="shared" si="13"/>
        <v/>
      </c>
      <c r="R263" s="575">
        <f>IFERROR(IF(G263=FAAS!$K$135,'Outras emissões de processo'!I263,VLOOKUP(G263,FAAS!$B$63:$J$82,9,FALSE)),"")</f>
        <v>1.1954817405923699</v>
      </c>
      <c r="S263" s="575">
        <f t="shared" si="8"/>
        <v>73.331328160632211</v>
      </c>
      <c r="T263" s="575">
        <f t="shared" si="9"/>
        <v>195.55020842835256</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31.2" outlineLevel="2" x14ac:dyDescent="0.3">
      <c r="B264" s="269" t="s">
        <v>37</v>
      </c>
      <c r="C264" s="962" t="s">
        <v>1673</v>
      </c>
      <c r="D264" s="250" t="s">
        <v>1189</v>
      </c>
      <c r="E264" s="249"/>
      <c r="F264" s="928"/>
      <c r="G264" s="269" t="s">
        <v>513</v>
      </c>
      <c r="H264" s="270"/>
      <c r="I264" s="270"/>
      <c r="J264" s="271"/>
      <c r="K264" s="623">
        <f>+K263</f>
        <v>61.34040000000001</v>
      </c>
      <c r="L264" s="249"/>
      <c r="M264" s="563"/>
      <c r="N264" s="1002" t="str">
        <f>IFERROR(IF(E264=FAAS!$B$81,I264,VLOOKUP(E264,FAAS!$K$113:$L$134,2,FALSE)),"")</f>
        <v/>
      </c>
      <c r="O264" s="1002" t="str">
        <f t="shared" si="12"/>
        <v/>
      </c>
      <c r="P264" s="1002">
        <f>IFERROR(IF(VLOOKUP(B264,'Dados gerais'!$D$33:$F$35,3,FALSE)="",VLOOKUP('Outras emissões de processo'!B264,'Fatores de Emissão'!$B$12:$E$14,3, FALSE),VLOOKUP(B264,'Dados gerais'!$D$33:$F$35,3,FALSE)),"")</f>
        <v>40</v>
      </c>
      <c r="Q264" s="1002" t="str">
        <f t="shared" si="13"/>
        <v/>
      </c>
      <c r="R264" s="575">
        <f>IFERROR(IF(G264=FAAS!$K$135,'Outras emissões de processo'!I264,VLOOKUP(G264,FAAS!$B$63:$J$82,9,FALSE)),"")</f>
        <v>1.1954817405923699</v>
      </c>
      <c r="S264" s="575">
        <f t="shared" si="8"/>
        <v>73.331328160632211</v>
      </c>
      <c r="T264" s="575">
        <f t="shared" si="9"/>
        <v>2933.2531264252884</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195.96024000000006</v>
      </c>
      <c r="G267" s="279"/>
      <c r="H267" s="279"/>
      <c r="I267" s="279"/>
      <c r="J267" s="280"/>
      <c r="K267" s="339">
        <f>SUM(K167:K266)</f>
        <v>1236.9701600000003</v>
      </c>
      <c r="L267" s="279"/>
      <c r="M267" s="339">
        <f>SUM(M167:M266)</f>
        <v>0</v>
      </c>
      <c r="N267" s="1003">
        <f>SUM(N167:N266)</f>
        <v>2324.7784512905914</v>
      </c>
      <c r="O267" s="1003">
        <f>SUM(O167:O266)</f>
        <v>9209.1145198321337</v>
      </c>
      <c r="P267" s="1004"/>
      <c r="Q267" s="1003">
        <f t="shared" ref="Q267:W267" si="14">SUM(Q167:Q266)</f>
        <v>3453.4179449370513</v>
      </c>
      <c r="R267" s="1003">
        <f t="shared" si="14"/>
        <v>154.47552866486257</v>
      </c>
      <c r="S267" s="1003">
        <f t="shared" si="14"/>
        <v>2283.9370213098382</v>
      </c>
      <c r="T267" s="1003">
        <f t="shared" si="14"/>
        <v>68588.273375700766</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49" t="s">
        <v>1525</v>
      </c>
      <c r="C281" s="1149"/>
      <c r="D281" s="1149"/>
      <c r="E281" s="1149"/>
      <c r="F281" s="1149"/>
      <c r="G281" s="1149"/>
      <c r="H281" s="1149"/>
      <c r="I281" s="1149"/>
      <c r="J281" s="1149"/>
      <c r="K281" s="1149"/>
      <c r="L281" s="1149"/>
      <c r="M281" s="1149"/>
      <c r="N281" s="1149"/>
      <c r="O281" s="1149"/>
      <c r="P281" s="1149"/>
      <c r="Q281" s="230"/>
      <c r="R281" s="230"/>
      <c r="S281" s="230"/>
      <c r="T281" s="234"/>
      <c r="U281" s="234"/>
      <c r="V281" s="234"/>
      <c r="W281" s="234"/>
      <c r="X281" s="234"/>
      <c r="Y281" s="234"/>
      <c r="Z281" s="234"/>
      <c r="AA281" s="234"/>
    </row>
    <row r="282" spans="2:27" ht="19.95" customHeight="1" x14ac:dyDescent="0.3">
      <c r="B282" s="1213" t="s">
        <v>1526</v>
      </c>
      <c r="C282" s="1213"/>
      <c r="D282" s="1213"/>
      <c r="E282" s="1213"/>
      <c r="F282" s="1213"/>
      <c r="G282" s="1213"/>
      <c r="H282" s="1213"/>
      <c r="I282" s="1213"/>
      <c r="J282" s="1213"/>
      <c r="K282" s="1213"/>
      <c r="L282" s="1213"/>
      <c r="M282" s="1213"/>
      <c r="N282" s="1213"/>
      <c r="O282" s="1213"/>
      <c r="P282" s="1213"/>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70" t="s">
        <v>896</v>
      </c>
      <c r="C286" s="1070" t="s">
        <v>897</v>
      </c>
      <c r="D286" s="1070" t="s">
        <v>1178</v>
      </c>
      <c r="E286" s="1070" t="s">
        <v>1249</v>
      </c>
      <c r="F286" s="1193" t="s">
        <v>1540</v>
      </c>
      <c r="G286" s="1194"/>
      <c r="H286" s="1194"/>
      <c r="I286" s="1195"/>
      <c r="J286" s="1193" t="s">
        <v>948</v>
      </c>
      <c r="K286" s="1194"/>
      <c r="L286" s="1194"/>
      <c r="M286" s="1194"/>
      <c r="N286" s="1194"/>
      <c r="O286" s="1194"/>
      <c r="P286" s="1194"/>
      <c r="Q286" s="1194"/>
      <c r="R286" s="1195"/>
      <c r="S286" s="1070" t="s">
        <v>1138</v>
      </c>
    </row>
    <row r="287" spans="2:27" ht="30.6" customHeight="1" x14ac:dyDescent="0.3">
      <c r="B287" s="1071"/>
      <c r="C287" s="1071"/>
      <c r="D287" s="1071"/>
      <c r="E287" s="1071"/>
      <c r="F287" s="1145" t="s">
        <v>1539</v>
      </c>
      <c r="G287" s="1144" t="s">
        <v>30</v>
      </c>
      <c r="H287" s="1144" t="s">
        <v>956</v>
      </c>
      <c r="I287" s="1144" t="s">
        <v>949</v>
      </c>
      <c r="J287" s="1199" t="s">
        <v>982</v>
      </c>
      <c r="K287" s="1200"/>
      <c r="L287" s="1201"/>
      <c r="M287" s="1207" t="s">
        <v>1139</v>
      </c>
      <c r="N287" s="1208"/>
      <c r="O287" s="1196" t="s">
        <v>981</v>
      </c>
      <c r="P287" s="1197"/>
      <c r="Q287" s="1197"/>
      <c r="R287" s="1197"/>
      <c r="S287" s="1071"/>
    </row>
    <row r="288" spans="2:27" ht="62.4" x14ac:dyDescent="0.3">
      <c r="B288" s="1083"/>
      <c r="C288" s="1083"/>
      <c r="D288" s="1083"/>
      <c r="E288" s="1083"/>
      <c r="F288" s="1145"/>
      <c r="G288" s="1144"/>
      <c r="H288" s="1144"/>
      <c r="I288" s="1144"/>
      <c r="J288" s="238" t="s">
        <v>1592</v>
      </c>
      <c r="K288" s="257" t="s">
        <v>33</v>
      </c>
      <c r="L288" s="238" t="s">
        <v>958</v>
      </c>
      <c r="M288" s="240" t="s">
        <v>1152</v>
      </c>
      <c r="N288" s="238" t="s">
        <v>937</v>
      </c>
      <c r="O288" s="237" t="s">
        <v>1182</v>
      </c>
      <c r="P288" s="237" t="s">
        <v>1180</v>
      </c>
      <c r="Q288" s="237" t="s">
        <v>1181</v>
      </c>
      <c r="R288" s="239" t="s">
        <v>937</v>
      </c>
      <c r="S288" s="1083"/>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43" t="s">
        <v>1492</v>
      </c>
      <c r="G396" s="1081"/>
      <c r="H396" s="1082"/>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67" t="s">
        <v>1494</v>
      </c>
      <c r="D398" s="1068"/>
      <c r="E398" s="1069"/>
      <c r="F398" s="848">
        <f>IF(F399+F400+F403="","",F399+F400+F403)</f>
        <v>2843.5284589542098</v>
      </c>
      <c r="G398" s="848">
        <f t="shared" ref="G398" si="18">IF(G399+G400+G403="","",G399+G400+G403)</f>
        <v>-1674.047535326996</v>
      </c>
      <c r="H398" s="848">
        <f>IF(H399+H400+H403="","",H399+H400+H403)</f>
        <v>0</v>
      </c>
    </row>
    <row r="399" spans="2:20" ht="15.6" x14ac:dyDescent="0.3">
      <c r="C399" s="1067" t="s">
        <v>1202</v>
      </c>
      <c r="D399" s="1068"/>
      <c r="E399" s="1069"/>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2843.5284589542098</v>
      </c>
      <c r="G400" s="825">
        <f t="shared" ref="G400:H400" si="19">SUM(G401:G402)</f>
        <v>-1674.047535326996</v>
      </c>
      <c r="H400" s="825">
        <f t="shared" si="19"/>
        <v>0</v>
      </c>
    </row>
    <row r="401" spans="3:9" ht="15.6" x14ac:dyDescent="0.3">
      <c r="C401" s="198" t="s">
        <v>1200</v>
      </c>
      <c r="D401" s="199"/>
      <c r="E401" s="200"/>
      <c r="F401" s="826">
        <f>-IF(AND(SUMIF($B$167:$B$266,$F$397,$S$167:$S$266)="",SUMIF($B$167:$B$266,$F$397,$S$167:$S$266)=0),"",SUMIF($B$167:$B$266,$F$397,$S$167:$S$266))</f>
        <v>-609.88948598284173</v>
      </c>
      <c r="G401" s="826">
        <f>-SUMIF($B$167:$B$266,$G$397,$S$167:$S$266)</f>
        <v>-1674.047535326996</v>
      </c>
      <c r="H401" s="826">
        <f>-SUMIF($B$167:$B$266,$H$397,$S$167:$S$266)</f>
        <v>0</v>
      </c>
    </row>
    <row r="402" spans="3:9" ht="15.6" x14ac:dyDescent="0.3">
      <c r="C402" s="198" t="s">
        <v>1201</v>
      </c>
      <c r="D402" s="199"/>
      <c r="E402" s="200"/>
      <c r="F402" s="826">
        <f>SUMIF($B$167:$B$266,$F$397,$Q$167:$Q$266)</f>
        <v>3453.4179449370513</v>
      </c>
      <c r="G402" s="826">
        <f>SUMIF($B$167:$B$266,$G$397,$Q$167:$Q$266)</f>
        <v>0</v>
      </c>
      <c r="H402" s="826">
        <f>SUMIF($B$167:$B$266,$H$397,$Q$167:$Q$266)</f>
        <v>0</v>
      </c>
    </row>
    <row r="403" spans="3:9" ht="15.6" x14ac:dyDescent="0.3">
      <c r="C403" s="1067" t="s">
        <v>1248</v>
      </c>
      <c r="D403" s="1068"/>
      <c r="E403" s="1069"/>
      <c r="F403" s="825">
        <f>SUM(F404:F405)</f>
        <v>0</v>
      </c>
      <c r="G403" s="825">
        <f t="shared" ref="G403" si="20">SUM(G404:G405)</f>
        <v>0</v>
      </c>
      <c r="H403" s="825">
        <f>SUM(H404:H405)</f>
        <v>0</v>
      </c>
    </row>
    <row r="404" spans="3:9" ht="15.6" x14ac:dyDescent="0.3">
      <c r="C404" s="1067" t="s">
        <v>1203</v>
      </c>
      <c r="D404" s="1068"/>
      <c r="E404" s="1069"/>
      <c r="F404" s="826">
        <f>FAOEP!F149</f>
        <v>0</v>
      </c>
      <c r="G404" s="826">
        <f>FAOEP!H149</f>
        <v>0</v>
      </c>
      <c r="H404" s="826">
        <f>+FAOEP!J149</f>
        <v>0</v>
      </c>
    </row>
    <row r="405" spans="3:9" ht="15.6" x14ac:dyDescent="0.3">
      <c r="C405" s="1202" t="s">
        <v>1204</v>
      </c>
      <c r="D405" s="1203"/>
      <c r="E405" s="1204"/>
      <c r="F405" s="826">
        <f>FAOEP!G149</f>
        <v>0</v>
      </c>
      <c r="G405" s="826">
        <f>FAOEP!I149</f>
        <v>0</v>
      </c>
      <c r="H405" s="826">
        <f>+FAOEP!K149</f>
        <v>0</v>
      </c>
    </row>
    <row r="406" spans="3:9" ht="15.6" x14ac:dyDescent="0.3">
      <c r="C406" s="284"/>
      <c r="D406" s="284"/>
      <c r="E406" s="284"/>
      <c r="F406" s="268"/>
      <c r="G406" s="268"/>
      <c r="H406" s="268"/>
    </row>
    <row r="407" spans="3:9" ht="18" x14ac:dyDescent="0.3">
      <c r="F407" s="1205" t="s">
        <v>1493</v>
      </c>
      <c r="G407" s="1080"/>
      <c r="H407" s="1206"/>
      <c r="I407" s="285" t="s">
        <v>41</v>
      </c>
    </row>
    <row r="408" spans="3:9" ht="15.6" x14ac:dyDescent="0.3">
      <c r="C408" s="1067" t="str">
        <f t="shared" ref="C408:C415" si="21">C398</f>
        <v>Total de outras emissões de processo</v>
      </c>
      <c r="D408" s="1068"/>
      <c r="E408" s="1069"/>
      <c r="F408" s="848">
        <f>F409+F410+F413</f>
        <v>7582.7425572112243</v>
      </c>
      <c r="G408" s="848">
        <f t="shared" ref="G408:H408" si="22">G409+G410+G413</f>
        <v>-66961.901413079846</v>
      </c>
      <c r="H408" s="848">
        <f t="shared" si="22"/>
        <v>0</v>
      </c>
      <c r="I408" s="848">
        <f>SUM(F408:H408)</f>
        <v>-59379.15885586862</v>
      </c>
    </row>
    <row r="409" spans="3:9" ht="15.6" x14ac:dyDescent="0.3">
      <c r="C409" s="1067" t="str">
        <f t="shared" si="21"/>
        <v xml:space="preserve">       Emissões de GEE de agricultura e pecuária (inclui terrenos inundados)</v>
      </c>
      <c r="D409" s="1068"/>
      <c r="E409" s="1069"/>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7582.7425572112243</v>
      </c>
      <c r="G410" s="825">
        <f t="shared" ref="G410:H410" si="24">SUM(G411:G412)</f>
        <v>-66961.901413079846</v>
      </c>
      <c r="H410" s="825">
        <f t="shared" si="24"/>
        <v>0</v>
      </c>
      <c r="I410" s="825">
        <f t="shared" si="23"/>
        <v>-59379.15885586862</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-1626.3719626209113</v>
      </c>
      <c r="G411" s="826">
        <f>IF(VLOOKUP(G$397,'Dados gerais'!$D$33:$F$35,3,FALSE)="",VLOOKUP(G$397,'Fatores de Emissão'!$B$12:$E$14,3,FALSE)*G401,VLOOKUP(G$397,'Dados gerais'!$D$33:$F$35,3,FALSE)*G401)</f>
        <v>-66961.901413079846</v>
      </c>
      <c r="H411" s="826">
        <f>IF(VLOOKUP(H$397,'Dados gerais'!$D$33:$F$35,3,FALSE)="",VLOOKUP(H$397,'Fatores de Emissão'!$B$12:$E$14,3,FALSE)*H401,VLOOKUP(H$397,'Dados gerais'!$D$33:$F$35,3,FALSE)*H401)</f>
        <v>0</v>
      </c>
      <c r="I411" s="826">
        <f t="shared" si="23"/>
        <v>-68588.273375700752</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9209.1145198321356</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9209.1145198321356</v>
      </c>
    </row>
    <row r="413" spans="3:9" ht="15.6" x14ac:dyDescent="0.3">
      <c r="C413" s="1067" t="str">
        <f t="shared" si="21"/>
        <v xml:space="preserve">       Emissões de resíduos e águas residuais</v>
      </c>
      <c r="D413" s="1068"/>
      <c r="E413" s="1069"/>
      <c r="F413" s="825">
        <f>SUM(F414:F415)</f>
        <v>0</v>
      </c>
      <c r="G413" s="825">
        <f t="shared" ref="G413" si="25">SUM(G414:G415)</f>
        <v>0</v>
      </c>
      <c r="H413" s="825">
        <f>SUM(H414:H415)</f>
        <v>0</v>
      </c>
      <c r="I413" s="825">
        <f t="shared" si="23"/>
        <v>0</v>
      </c>
    </row>
    <row r="414" spans="3:9" ht="15.6" x14ac:dyDescent="0.3">
      <c r="C414" s="1067" t="str">
        <f t="shared" si="21"/>
        <v xml:space="preserve">              Emissões diretas</v>
      </c>
      <c r="D414" s="1068"/>
      <c r="E414" s="1069"/>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67" t="str">
        <f t="shared" si="21"/>
        <v xml:space="preserve">              Emissões indiretas</v>
      </c>
      <c r="D415" s="1068"/>
      <c r="E415" s="1069"/>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Q164:Q165"/>
    <mergeCell ref="L163:M163"/>
    <mergeCell ref="P164:P165"/>
    <mergeCell ref="N163:Q163"/>
    <mergeCell ref="N164:N165"/>
    <mergeCell ref="O164:O165"/>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D8:H8"/>
    <mergeCell ref="B32:P32"/>
    <mergeCell ref="B12:K12"/>
    <mergeCell ref="B13:K13"/>
    <mergeCell ref="B17:K17"/>
    <mergeCell ref="B18:K18"/>
    <mergeCell ref="B19:K19"/>
    <mergeCell ref="B20:K20"/>
    <mergeCell ref="B31:K31"/>
    <mergeCell ref="B11:J11"/>
    <mergeCell ref="B14:J14"/>
    <mergeCell ref="U163:W163"/>
    <mergeCell ref="U164:U165"/>
    <mergeCell ref="V164:V165"/>
    <mergeCell ref="W164:W165"/>
    <mergeCell ref="T164:T165"/>
    <mergeCell ref="R163:T163"/>
    <mergeCell ref="R164:R165"/>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C414:E414"/>
    <mergeCell ref="C415:E415"/>
    <mergeCell ref="C404:E404"/>
    <mergeCell ref="C405:E405"/>
    <mergeCell ref="F407:H407"/>
    <mergeCell ref="C408:E408"/>
    <mergeCell ref="C409:E409"/>
    <mergeCell ref="C413:E413"/>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J286:R286"/>
    <mergeCell ref="F286:I286"/>
    <mergeCell ref="F287:F288"/>
    <mergeCell ref="G287:G288"/>
    <mergeCell ref="H287:H288"/>
    <mergeCell ref="I287:I288"/>
    <mergeCell ref="O287:R287"/>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76" t="str">
        <f>'Outras emissões de processo'!F397</f>
        <v>Construção ou fase preparatória</v>
      </c>
      <c r="G47" s="1176"/>
      <c r="H47" s="1176" t="str">
        <f>B38</f>
        <v>Exploração</v>
      </c>
      <c r="I47" s="1176"/>
      <c r="J47" s="1176" t="str">
        <f>+B39</f>
        <v>Desativação</v>
      </c>
      <c r="K47" s="1176"/>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76" t="str">
        <f>F47</f>
        <v>Construção ou fase preparatória</v>
      </c>
      <c r="G151" s="1176"/>
      <c r="H151" s="1176" t="str">
        <f>H47</f>
        <v>Exploração</v>
      </c>
      <c r="I151" s="1176"/>
      <c r="J151" s="1176" t="str">
        <f>J47</f>
        <v>Desativação</v>
      </c>
      <c r="K151" s="1176"/>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24" t="s">
        <v>333</v>
      </c>
      <c r="B31" s="1224" t="s">
        <v>425</v>
      </c>
      <c r="C31" s="1224" t="s">
        <v>202</v>
      </c>
      <c r="D31" s="17"/>
      <c r="F31" s="3" t="s">
        <v>341</v>
      </c>
      <c r="G31" s="3" t="s">
        <v>342</v>
      </c>
      <c r="H31" s="3" t="s">
        <v>343</v>
      </c>
      <c r="I31" s="3" t="s">
        <v>344</v>
      </c>
      <c r="J31" s="3" t="s">
        <v>346</v>
      </c>
      <c r="K31" s="3" t="s">
        <v>348</v>
      </c>
      <c r="L31" s="3" t="s">
        <v>350</v>
      </c>
      <c r="N31" s="1219" t="s">
        <v>332</v>
      </c>
      <c r="O31" s="1219" t="s">
        <v>352</v>
      </c>
      <c r="W31" s="1226" t="s">
        <v>1153</v>
      </c>
      <c r="X31" s="1226"/>
      <c r="Y31" s="1226"/>
      <c r="Z31" s="1226"/>
      <c r="AA31" s="1226"/>
      <c r="AB31" s="1226"/>
    </row>
    <row r="32" spans="1:28" x14ac:dyDescent="0.3">
      <c r="A32" s="1225"/>
      <c r="B32" s="1225"/>
      <c r="C32" s="1225"/>
      <c r="D32" s="17"/>
      <c r="F32" s="291" t="s">
        <v>583</v>
      </c>
      <c r="G32" s="291" t="s">
        <v>583</v>
      </c>
      <c r="H32" s="291" t="s">
        <v>1156</v>
      </c>
      <c r="I32" s="291" t="s">
        <v>345</v>
      </c>
      <c r="J32" s="3" t="s">
        <v>347</v>
      </c>
      <c r="K32" s="3" t="s">
        <v>349</v>
      </c>
      <c r="L32" s="3" t="s">
        <v>349</v>
      </c>
      <c r="N32" s="1220"/>
      <c r="O32" s="1220"/>
      <c r="W32" s="287"/>
      <c r="X32" s="288" t="s">
        <v>1154</v>
      </c>
      <c r="Y32" s="288"/>
      <c r="Z32" s="288"/>
      <c r="AA32" s="288"/>
      <c r="AB32" s="146"/>
    </row>
    <row r="33" spans="1:28" x14ac:dyDescent="0.3">
      <c r="A33" s="1221"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2"/>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2"/>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2"/>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2"/>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2"/>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2"/>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3"/>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1"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2"/>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2"/>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2"/>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2"/>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3"/>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5"/>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5"/>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5"/>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5"/>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5"/>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5"/>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5"/>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5"/>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5"/>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5"/>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5"/>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5"/>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5"/>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5"/>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34" t="s">
        <v>353</v>
      </c>
      <c r="B89" s="1235"/>
      <c r="C89" s="1231" t="s">
        <v>376</v>
      </c>
      <c r="D89" s="1232"/>
      <c r="E89" s="1233"/>
      <c r="F89" s="1231" t="s">
        <v>378</v>
      </c>
      <c r="G89" s="1232"/>
      <c r="H89" s="1233"/>
      <c r="I89" s="217" t="s">
        <v>380</v>
      </c>
    </row>
    <row r="90" spans="1:12" x14ac:dyDescent="0.3">
      <c r="A90" s="1236"/>
      <c r="B90" s="1237"/>
      <c r="C90" s="217">
        <v>1995</v>
      </c>
      <c r="D90" s="217">
        <v>2005</v>
      </c>
      <c r="E90" s="217">
        <v>2010</v>
      </c>
      <c r="F90" s="217">
        <v>1995</v>
      </c>
      <c r="G90" s="217">
        <v>2005</v>
      </c>
      <c r="H90" s="217">
        <v>2010</v>
      </c>
      <c r="I90" s="217" t="s">
        <v>379</v>
      </c>
    </row>
    <row r="91" spans="1:12" x14ac:dyDescent="0.3">
      <c r="A91" s="1238"/>
      <c r="B91" s="1239"/>
      <c r="C91" s="217" t="s">
        <v>377</v>
      </c>
      <c r="D91" s="217" t="s">
        <v>377</v>
      </c>
      <c r="E91" s="217" t="s">
        <v>377</v>
      </c>
      <c r="F91" s="217" t="s">
        <v>377</v>
      </c>
      <c r="G91" s="217" t="s">
        <v>377</v>
      </c>
      <c r="H91" s="217" t="s">
        <v>377</v>
      </c>
      <c r="I91" s="217" t="s">
        <v>377</v>
      </c>
    </row>
    <row r="92" spans="1:12" x14ac:dyDescent="0.3">
      <c r="A92" s="1227" t="s">
        <v>334</v>
      </c>
      <c r="B92" s="221" t="str">
        <f>B63</f>
        <v>Pinheiro-bravo</v>
      </c>
      <c r="C92" s="221">
        <v>28.29</v>
      </c>
      <c r="D92" s="221">
        <v>26.74</v>
      </c>
      <c r="E92" s="221">
        <v>26.74</v>
      </c>
      <c r="F92" s="221">
        <v>3.33</v>
      </c>
      <c r="G92" s="221">
        <v>3.14</v>
      </c>
      <c r="H92" s="221">
        <v>3.14</v>
      </c>
      <c r="I92" s="221">
        <v>2.96</v>
      </c>
    </row>
    <row r="93" spans="1:12" x14ac:dyDescent="0.3">
      <c r="A93" s="1228"/>
      <c r="B93" s="221" t="str">
        <f t="shared" ref="B93:B99" si="13">B64</f>
        <v>Sobreiro</v>
      </c>
      <c r="C93" s="221">
        <v>20.67</v>
      </c>
      <c r="D93" s="221">
        <v>20.04</v>
      </c>
      <c r="E93" s="221">
        <v>20.04</v>
      </c>
      <c r="F93" s="221">
        <v>3.03</v>
      </c>
      <c r="G93" s="221">
        <v>2.94</v>
      </c>
      <c r="H93" s="221">
        <v>2.94</v>
      </c>
      <c r="I93" s="221">
        <v>2.04</v>
      </c>
    </row>
    <row r="94" spans="1:12" x14ac:dyDescent="0.3">
      <c r="A94" s="1228"/>
      <c r="B94" s="221" t="str">
        <f t="shared" si="13"/>
        <v>Eucalipto</v>
      </c>
      <c r="C94" s="221">
        <v>16.72</v>
      </c>
      <c r="D94" s="221">
        <v>17.97</v>
      </c>
      <c r="E94" s="221">
        <v>17.97</v>
      </c>
      <c r="F94" s="221">
        <v>3.88</v>
      </c>
      <c r="G94" s="221">
        <v>4.2</v>
      </c>
      <c r="H94" s="221">
        <v>4.2</v>
      </c>
      <c r="I94" s="221">
        <v>1.85</v>
      </c>
    </row>
    <row r="95" spans="1:12" x14ac:dyDescent="0.3">
      <c r="A95" s="1228"/>
      <c r="B95" s="221" t="str">
        <f t="shared" si="13"/>
        <v>Azinheira</v>
      </c>
      <c r="C95" s="221">
        <v>9.4700000000000006</v>
      </c>
      <c r="D95" s="221">
        <v>8.3699999999999992</v>
      </c>
      <c r="E95" s="221">
        <v>8.3699999999999992</v>
      </c>
      <c r="F95" s="221">
        <v>5.03</v>
      </c>
      <c r="G95" s="221">
        <v>4.92</v>
      </c>
      <c r="H95" s="221">
        <v>4.92</v>
      </c>
      <c r="I95" s="221">
        <v>2.04</v>
      </c>
    </row>
    <row r="96" spans="1:12" x14ac:dyDescent="0.3">
      <c r="A96" s="1228"/>
      <c r="B96" s="221" t="str">
        <f t="shared" si="13"/>
        <v>Carvalhos</v>
      </c>
      <c r="C96" s="221">
        <v>15.45</v>
      </c>
      <c r="D96" s="221">
        <v>15.87</v>
      </c>
      <c r="E96" s="221">
        <v>15.87</v>
      </c>
      <c r="F96" s="221">
        <v>4.83</v>
      </c>
      <c r="G96" s="221">
        <v>4.6900000000000004</v>
      </c>
      <c r="H96" s="221">
        <v>4.6900000000000004</v>
      </c>
      <c r="I96" s="221">
        <v>1.85</v>
      </c>
    </row>
    <row r="97" spans="1:14" x14ac:dyDescent="0.3">
      <c r="A97" s="1228"/>
      <c r="B97" s="221" t="str">
        <f t="shared" si="13"/>
        <v>Outras folhosas</v>
      </c>
      <c r="C97" s="221">
        <v>20.399999999999999</v>
      </c>
      <c r="D97" s="221">
        <v>30.79</v>
      </c>
      <c r="E97" s="221">
        <v>30.79</v>
      </c>
      <c r="F97" s="221">
        <v>7.67</v>
      </c>
      <c r="G97" s="221">
        <v>13.34</v>
      </c>
      <c r="H97" s="221">
        <v>13.34</v>
      </c>
      <c r="I97" s="221">
        <v>1.85</v>
      </c>
    </row>
    <row r="98" spans="1:14" x14ac:dyDescent="0.3">
      <c r="A98" s="1228"/>
      <c r="B98" s="221" t="str">
        <f t="shared" si="13"/>
        <v>Pinheiro-manso</v>
      </c>
      <c r="C98" s="221">
        <v>25.4</v>
      </c>
      <c r="D98" s="221">
        <v>18.79</v>
      </c>
      <c r="E98" s="221">
        <v>18.79</v>
      </c>
      <c r="F98" s="221">
        <v>1.96</v>
      </c>
      <c r="G98" s="221">
        <v>1.46</v>
      </c>
      <c r="H98" s="221">
        <v>1.46</v>
      </c>
      <c r="I98" s="221">
        <v>2.41</v>
      </c>
    </row>
    <row r="99" spans="1:14" x14ac:dyDescent="0.3">
      <c r="A99" s="1229"/>
      <c r="B99" s="221" t="str">
        <f t="shared" si="13"/>
        <v>Outras coníferas</v>
      </c>
      <c r="C99" s="221">
        <v>8.6999999999999993</v>
      </c>
      <c r="D99" s="221">
        <v>14.51</v>
      </c>
      <c r="E99" s="221">
        <v>14.51</v>
      </c>
      <c r="F99" s="221">
        <v>1.62</v>
      </c>
      <c r="G99" s="221">
        <v>1.76</v>
      </c>
      <c r="H99" s="221">
        <v>1.76</v>
      </c>
      <c r="I99" s="221">
        <v>2.96</v>
      </c>
    </row>
    <row r="100" spans="1:14" x14ac:dyDescent="0.3">
      <c r="A100" s="1221" t="s">
        <v>336</v>
      </c>
      <c r="B100" s="5" t="str">
        <f>B71</f>
        <v>Culturas anuais de sequeiro</v>
      </c>
      <c r="C100" s="144">
        <v>0.31</v>
      </c>
      <c r="D100" s="144">
        <v>0.31</v>
      </c>
      <c r="E100" s="144">
        <v>0.31</v>
      </c>
      <c r="F100" s="144">
        <v>0.31</v>
      </c>
      <c r="G100" s="144">
        <v>0.31</v>
      </c>
      <c r="H100" s="144">
        <v>0.31</v>
      </c>
      <c r="I100" s="144">
        <v>0.33</v>
      </c>
    </row>
    <row r="101" spans="1:14" x14ac:dyDescent="0.3">
      <c r="A101" s="1222"/>
      <c r="B101" s="5" t="str">
        <f t="shared" ref="B101:B109" si="14">B72</f>
        <v>Culturas anuais irrigadas</v>
      </c>
      <c r="C101" s="144">
        <v>0.31</v>
      </c>
      <c r="D101" s="144">
        <v>0.31</v>
      </c>
      <c r="E101" s="144">
        <v>0.31</v>
      </c>
      <c r="F101" s="144">
        <v>0.31</v>
      </c>
      <c r="G101" s="144">
        <v>0.31</v>
      </c>
      <c r="H101" s="144">
        <v>0.31</v>
      </c>
      <c r="I101" s="144">
        <v>0.33</v>
      </c>
    </row>
    <row r="102" spans="1:14" x14ac:dyDescent="0.3">
      <c r="A102" s="1222"/>
      <c r="B102" s="5" t="str">
        <f t="shared" si="14"/>
        <v>Arrozais</v>
      </c>
      <c r="C102" s="144">
        <v>0.31</v>
      </c>
      <c r="D102" s="144">
        <v>0.31</v>
      </c>
      <c r="E102" s="144">
        <v>0.31</v>
      </c>
      <c r="F102" s="144">
        <v>0.31</v>
      </c>
      <c r="G102" s="144">
        <v>0.31</v>
      </c>
      <c r="H102" s="144">
        <v>0.31</v>
      </c>
      <c r="I102" s="144">
        <v>0.33</v>
      </c>
    </row>
    <row r="103" spans="1:14" x14ac:dyDescent="0.3">
      <c r="A103" s="1222"/>
      <c r="B103" s="5" t="str">
        <f t="shared" si="14"/>
        <v>Vinhas</v>
      </c>
      <c r="C103" s="144">
        <v>3.34</v>
      </c>
      <c r="D103" s="144">
        <v>3.34</v>
      </c>
      <c r="E103" s="144">
        <v>3.34</v>
      </c>
      <c r="F103" s="144">
        <v>2.87</v>
      </c>
      <c r="G103" s="144">
        <v>2.87</v>
      </c>
      <c r="H103" s="144">
        <v>2.87</v>
      </c>
      <c r="I103" s="144">
        <v>0.33</v>
      </c>
    </row>
    <row r="104" spans="1:14" x14ac:dyDescent="0.3">
      <c r="A104" s="1222"/>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3"/>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27"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28"/>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28"/>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28"/>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28"/>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28"/>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28"/>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29"/>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1"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2"/>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2"/>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2"/>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2"/>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3"/>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42" t="s">
        <v>384</v>
      </c>
      <c r="B140" s="1240" t="s">
        <v>385</v>
      </c>
      <c r="C140" s="1241"/>
      <c r="D140" s="1241"/>
      <c r="E140" s="1230"/>
      <c r="F140" s="1244"/>
      <c r="H140" s="1214"/>
      <c r="I140" s="1214"/>
    </row>
    <row r="141" spans="1:12" ht="14.7" customHeight="1" x14ac:dyDescent="0.3">
      <c r="A141" s="1243"/>
      <c r="B141" s="50" t="s">
        <v>386</v>
      </c>
      <c r="C141" s="50" t="s">
        <v>387</v>
      </c>
      <c r="D141" s="899" t="s">
        <v>388</v>
      </c>
      <c r="E141" s="1230"/>
      <c r="F141" s="1244"/>
      <c r="H141" s="1214"/>
      <c r="I141" s="1214"/>
    </row>
    <row r="142" spans="1:12" ht="28.8" x14ac:dyDescent="0.3">
      <c r="A142" s="147" t="s">
        <v>422</v>
      </c>
      <c r="B142" s="144">
        <v>6.0999999999999999E-2</v>
      </c>
      <c r="C142" s="144">
        <v>1E-3</v>
      </c>
      <c r="D142" s="145">
        <v>0.2</v>
      </c>
      <c r="E142" s="914"/>
      <c r="F142" s="1"/>
      <c r="H142" s="1214"/>
      <c r="I142" s="1214"/>
    </row>
    <row r="143" spans="1:12" ht="28.8" x14ac:dyDescent="0.3">
      <c r="A143" s="147" t="s">
        <v>423</v>
      </c>
      <c r="B143" s="144">
        <v>0.15</v>
      </c>
      <c r="C143" s="144">
        <v>-0.05</v>
      </c>
      <c r="D143" s="145">
        <v>1.1000000000000001</v>
      </c>
      <c r="E143" s="914"/>
      <c r="F143" s="1"/>
      <c r="H143" s="1214"/>
      <c r="I143" s="1214"/>
    </row>
    <row r="144" spans="1:12" ht="28.2" customHeight="1" x14ac:dyDescent="0.3">
      <c r="A144" s="147" t="s">
        <v>424</v>
      </c>
      <c r="B144" s="144">
        <v>4.3999999999999997E-2</v>
      </c>
      <c r="C144" s="144">
        <v>3.2000000000000001E-2</v>
      </c>
      <c r="D144" s="145">
        <v>0.09</v>
      </c>
      <c r="E144" s="914"/>
      <c r="F144" s="1"/>
      <c r="H144" s="1214"/>
      <c r="I144" s="1214"/>
    </row>
    <row r="147" spans="1:5" s="11" customFormat="1" ht="19.8" x14ac:dyDescent="0.7">
      <c r="B147" s="12" t="s">
        <v>430</v>
      </c>
    </row>
    <row r="150" spans="1:5" x14ac:dyDescent="0.3">
      <c r="A150" s="1125" t="s">
        <v>36</v>
      </c>
      <c r="B150" s="1215" t="s">
        <v>552</v>
      </c>
      <c r="C150" s="1128" t="s">
        <v>48</v>
      </c>
      <c r="D150" s="1129"/>
      <c r="E150" s="1130"/>
    </row>
    <row r="151" spans="1:5" ht="19.8" x14ac:dyDescent="0.3">
      <c r="A151" s="1126"/>
      <c r="B151" s="1216"/>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25" t="s">
        <v>36</v>
      </c>
      <c r="B189" s="1217" t="s">
        <v>432</v>
      </c>
      <c r="C189" s="1128" t="s">
        <v>48</v>
      </c>
      <c r="D189" s="1129"/>
      <c r="E189" s="1130"/>
    </row>
    <row r="190" spans="1:5" ht="19.8" x14ac:dyDescent="0.3">
      <c r="A190" s="1126"/>
      <c r="B190" s="1218"/>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 ref="N31:N32"/>
    <mergeCell ref="A33:A40"/>
    <mergeCell ref="A41:A46"/>
    <mergeCell ref="A31:A32"/>
    <mergeCell ref="B31:B32"/>
    <mergeCell ref="C31:C32"/>
    <mergeCell ref="H142:I142"/>
    <mergeCell ref="A150:A151"/>
    <mergeCell ref="B150:B151"/>
    <mergeCell ref="C150:E150"/>
    <mergeCell ref="A189:A190"/>
    <mergeCell ref="B189:B190"/>
    <mergeCell ref="C189:E189"/>
    <mergeCell ref="H143:I143"/>
    <mergeCell ref="H144:I144"/>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25"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16" t="str">
        <f>IF(Triagem!C34="","Não indicou na TRIAGEM se esta folha se adequa ao projeto",IF(Triagem!C34="Não","Não necessita de preencher esta folha","Folha a ser preenchida"))</f>
        <v>Não indicou na TRIAGEM se esta folha se adequa ao projeto</v>
      </c>
      <c r="E9" s="1116"/>
      <c r="F9" s="1116"/>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52" t="s">
        <v>1575</v>
      </c>
      <c r="D17" s="1252"/>
      <c r="E17" s="1252"/>
      <c r="F17" s="1252"/>
      <c r="G17" s="1252"/>
      <c r="H17" s="1252"/>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48" t="s">
        <v>268</v>
      </c>
      <c r="C141" s="1248"/>
      <c r="D141" s="1248"/>
      <c r="E141" s="1248"/>
      <c r="F141" s="1248"/>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49" t="s">
        <v>267</v>
      </c>
      <c r="C144" s="1249"/>
      <c r="D144" s="1249"/>
      <c r="E144" s="1249"/>
      <c r="F144" s="1249"/>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70" t="s">
        <v>612</v>
      </c>
      <c r="C147" s="1147" t="s">
        <v>1009</v>
      </c>
      <c r="D147" s="1084" t="s">
        <v>1010</v>
      </c>
      <c r="E147" s="1084" t="s">
        <v>1253</v>
      </c>
      <c r="F147" s="1084" t="s">
        <v>1022</v>
      </c>
      <c r="G147" s="1084"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71"/>
      <c r="C148" s="1162"/>
      <c r="D148" s="1085"/>
      <c r="E148" s="1085"/>
      <c r="F148" s="1085"/>
      <c r="G148" s="1085"/>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83"/>
      <c r="C149" s="1148"/>
      <c r="D149" s="1086"/>
      <c r="E149" s="1086"/>
      <c r="F149" s="1086"/>
      <c r="G149" s="1086"/>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54"/>
      <c r="C257" s="1254"/>
      <c r="D257" s="1254"/>
      <c r="E257" s="1253" t="s">
        <v>1116</v>
      </c>
      <c r="F257" s="1253"/>
      <c r="G257" s="1143"/>
      <c r="I257" s="205"/>
      <c r="J257" s="205"/>
    </row>
    <row r="258" spans="2:10" ht="21.45" customHeight="1" x14ac:dyDescent="0.3">
      <c r="B258" s="1254"/>
      <c r="C258" s="1254"/>
      <c r="D258" s="1254"/>
      <c r="E258" s="282" t="str">
        <f>FAEE!B14</f>
        <v>Construção ou fase preparatória</v>
      </c>
      <c r="F258" s="283" t="str">
        <f>FAEE!B15</f>
        <v>Exploração</v>
      </c>
      <c r="G258" s="326" t="str">
        <f>FAEE!B16</f>
        <v>Desativação</v>
      </c>
      <c r="I258" s="327"/>
      <c r="J258" s="327"/>
    </row>
    <row r="259" spans="2:10" x14ac:dyDescent="0.3">
      <c r="B259" s="1113" t="s">
        <v>1527</v>
      </c>
      <c r="C259" s="1113"/>
      <c r="D259" s="1113"/>
      <c r="E259" s="850">
        <f>E260+E262</f>
        <v>0</v>
      </c>
      <c r="F259" s="850">
        <f>F260+F262</f>
        <v>0</v>
      </c>
      <c r="G259" s="850">
        <f t="shared" ref="G259" si="6">G260+G262</f>
        <v>0</v>
      </c>
      <c r="I259" s="171"/>
      <c r="J259" s="171"/>
    </row>
    <row r="260" spans="2:10" x14ac:dyDescent="0.3">
      <c r="B260" s="1250" t="s">
        <v>1211</v>
      </c>
      <c r="C260" s="1251"/>
      <c r="D260" s="1251"/>
      <c r="E260" s="824">
        <f>SUMIF($B$33:$B$132,E$258,$F$33:$F$132)+E261</f>
        <v>0</v>
      </c>
      <c r="F260" s="824">
        <f t="shared" ref="F260:G260" si="7">SUMIF($B$33:$B$132,F$258,$F$33:$F$132)+F261</f>
        <v>0</v>
      </c>
      <c r="G260" s="824">
        <f t="shared" si="7"/>
        <v>0</v>
      </c>
      <c r="I260" s="328"/>
      <c r="J260" s="328"/>
    </row>
    <row r="261" spans="2:10" s="248" customFormat="1" x14ac:dyDescent="0.3">
      <c r="B261" s="1098" t="s">
        <v>1213</v>
      </c>
      <c r="C261" s="1099"/>
      <c r="D261" s="1099"/>
      <c r="E261" s="826">
        <f>'Combustão Móvel'!E561</f>
        <v>0</v>
      </c>
      <c r="F261" s="826">
        <f>'Combustão Móvel'!F561</f>
        <v>0</v>
      </c>
      <c r="G261" s="826">
        <f>'Combustão Móvel'!G561</f>
        <v>0</v>
      </c>
    </row>
    <row r="262" spans="2:10" x14ac:dyDescent="0.3">
      <c r="B262" s="1246" t="s">
        <v>1210</v>
      </c>
      <c r="C262" s="1247"/>
      <c r="D262" s="1247"/>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05" t="s">
        <v>1209</v>
      </c>
      <c r="F264" s="1080"/>
      <c r="G264" s="1080"/>
      <c r="H264" s="1080"/>
    </row>
    <row r="265" spans="2:10" x14ac:dyDescent="0.3">
      <c r="E265" s="282" t="str">
        <f>E258</f>
        <v>Construção ou fase preparatória</v>
      </c>
      <c r="F265" s="283" t="s">
        <v>37</v>
      </c>
      <c r="G265" s="326" t="s">
        <v>264</v>
      </c>
      <c r="H265" s="329" t="s">
        <v>41</v>
      </c>
    </row>
    <row r="266" spans="2:10" x14ac:dyDescent="0.3">
      <c r="B266" s="1113" t="str">
        <f>B259</f>
        <v xml:space="preserve">Emissões de GEE elétricas e térmicas adquiridas </v>
      </c>
      <c r="C266" s="1113"/>
      <c r="D266" s="1113"/>
      <c r="E266" s="850">
        <f>E267+E269</f>
        <v>0</v>
      </c>
      <c r="F266" s="850">
        <f t="shared" ref="F266:G266" si="9">F267+F269</f>
        <v>0</v>
      </c>
      <c r="G266" s="850">
        <f t="shared" si="9"/>
        <v>0</v>
      </c>
      <c r="H266" s="851">
        <f>SUM(E266:G266)</f>
        <v>0</v>
      </c>
    </row>
    <row r="267" spans="2:10" x14ac:dyDescent="0.3">
      <c r="B267" s="1113" t="str">
        <f t="shared" ref="B267:B269" si="10">B260</f>
        <v>Emissões de eletricidade adquirida</v>
      </c>
      <c r="C267" s="1113"/>
      <c r="D267" s="1113"/>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55" t="str">
        <f t="shared" si="10"/>
        <v xml:space="preserve">               Fração proveniente do transporte em ferrovia relatado em combustão móvel</v>
      </c>
      <c r="C268" s="1255"/>
      <c r="D268" s="1255"/>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13" t="str">
        <f t="shared" si="10"/>
        <v>Emissões de energia térmica adquirida</v>
      </c>
      <c r="C269" s="1113"/>
      <c r="D269" s="1113"/>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B257:D258"/>
    <mergeCell ref="B269:D269"/>
    <mergeCell ref="E264:H264"/>
    <mergeCell ref="B268:D268"/>
    <mergeCell ref="G147:G149"/>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2027</v>
      </c>
      <c r="D14" s="6">
        <f>'Dados gerais'!F33</f>
        <v>2.6666666666666665</v>
      </c>
    </row>
    <row r="15" spans="2:4" ht="19.8" x14ac:dyDescent="0.3">
      <c r="B15" s="14" t="str">
        <f>'Fatores de Emissão'!B13</f>
        <v>Exploração</v>
      </c>
      <c r="C15" s="6">
        <f>'Dados gerais'!E34</f>
        <v>2029.6666666666667</v>
      </c>
      <c r="D15" s="6">
        <f>'Dados gerais'!F34</f>
        <v>40</v>
      </c>
    </row>
    <row r="16" spans="2:4" ht="19.8" x14ac:dyDescent="0.3">
      <c r="B16" s="15" t="str">
        <f>'Fatores de Emissão'!B14</f>
        <v>Desativação</v>
      </c>
      <c r="C16" s="6">
        <f>'Dados gerais'!E35</f>
        <v>0</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2027</v>
      </c>
      <c r="I19" s="22">
        <f>IF(D14="", 'Fatores de Emissão'!E12+C14,D14+C14)</f>
        <v>2029.6666666666667</v>
      </c>
      <c r="J19" s="137">
        <f>IF(H19&gt;$B$47,$E$47,VLOOKUP(H19,$B$19:$E$47,4,FALSE))</f>
        <v>3.1625672065538998E-2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2029.6666666666667</v>
      </c>
      <c r="I20" s="22">
        <f>IF(D15="", 'Fatores de Emissão'!E13+C15,D15+C15)</f>
        <v>2069.666666666667</v>
      </c>
      <c r="J20" s="137" t="e">
        <f t="shared" ref="J20:J21" si="2">IF(H20&gt;$B$47,$E$47,VLOOKUP(H20,$B$19:$E$47,4,FALSE))</f>
        <v>#N/A</v>
      </c>
      <c r="K20" s="137">
        <f t="shared" ref="K20:K21" si="3">IF(I20&gt;$B$47,$E$47,VLOOKUP(I20,$B$19:$E$47,4,FALSE))</f>
        <v>1.9287953057302389E-2</v>
      </c>
      <c r="L20" s="137" t="e">
        <f t="shared" ref="L20:L21" si="4">(J20+K20)/2</f>
        <v>#N/A</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0</v>
      </c>
      <c r="I21" s="22">
        <f>IF(D16="", 'Fatores de Emissão'!E14+C16,D16+C16)</f>
        <v>0</v>
      </c>
      <c r="J21" s="137" t="e">
        <f t="shared" si="2"/>
        <v>#N/A</v>
      </c>
      <c r="K21" s="137" t="e">
        <f t="shared" si="3"/>
        <v>#N/A</v>
      </c>
      <c r="L21" s="137" t="e">
        <f t="shared" si="4"/>
        <v>#N/A</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56"/>
      <c r="C163" s="1256"/>
      <c r="D163" s="1256"/>
      <c r="E163" s="1257" t="s">
        <v>623</v>
      </c>
      <c r="F163" s="1257"/>
      <c r="G163" s="1257"/>
      <c r="H163" s="1257" t="s">
        <v>624</v>
      </c>
      <c r="I163" s="1257"/>
      <c r="J163" s="1257"/>
    </row>
    <row r="164" spans="2:10" ht="19.8" x14ac:dyDescent="0.3">
      <c r="B164" s="1256"/>
      <c r="C164" s="1256"/>
      <c r="D164" s="1256"/>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57" t="s">
        <v>546</v>
      </c>
      <c r="C165" s="1257"/>
      <c r="D165" s="1257"/>
      <c r="E165" s="80">
        <f>D154</f>
        <v>0</v>
      </c>
      <c r="F165" s="80">
        <f>E154</f>
        <v>0</v>
      </c>
      <c r="G165" s="80">
        <f>F154</f>
        <v>0</v>
      </c>
      <c r="H165" s="80">
        <f>M154</f>
        <v>0</v>
      </c>
      <c r="I165" s="80">
        <f>N154</f>
        <v>0</v>
      </c>
      <c r="J165" s="80">
        <f>O154</f>
        <v>0</v>
      </c>
    </row>
    <row r="166" spans="2:10" ht="19.8" x14ac:dyDescent="0.3">
      <c r="B166" s="1187" t="s">
        <v>547</v>
      </c>
      <c r="C166" s="1188"/>
      <c r="D166" s="1188"/>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7"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37" t="s">
        <v>1559</v>
      </c>
      <c r="C11" s="1037"/>
      <c r="D11" s="1037"/>
      <c r="E11" s="1037"/>
      <c r="F11" s="1037"/>
      <c r="G11" s="1037"/>
      <c r="H11" s="1037"/>
      <c r="I11" s="1037"/>
      <c r="J11" s="1037"/>
      <c r="K11" s="1037"/>
      <c r="L11" s="1037"/>
      <c r="M11" s="1037"/>
      <c r="N11" s="1037"/>
      <c r="O11" s="1037"/>
      <c r="P11" s="1037"/>
      <c r="Q11" s="1037"/>
      <c r="R11" s="1037"/>
      <c r="S11" s="1037"/>
      <c r="T11" s="1037"/>
      <c r="U11" s="1037"/>
      <c r="V11" s="1037"/>
    </row>
    <row r="12" spans="2:22" ht="12" customHeight="1" x14ac:dyDescent="0.35">
      <c r="B12" s="1037"/>
      <c r="C12" s="1037"/>
      <c r="D12" s="1037"/>
      <c r="E12" s="1037"/>
      <c r="F12" s="1037"/>
      <c r="G12" s="1037"/>
      <c r="H12" s="1037"/>
      <c r="I12" s="1037"/>
      <c r="J12" s="1037"/>
      <c r="K12" s="1037"/>
      <c r="L12" s="1037"/>
      <c r="M12" s="1037"/>
      <c r="N12" s="1037"/>
      <c r="O12" s="1037"/>
      <c r="P12" s="1037"/>
      <c r="Q12" s="1037"/>
      <c r="R12" s="1037"/>
      <c r="S12" s="1037"/>
      <c r="T12" s="1037"/>
      <c r="U12" s="1037"/>
      <c r="V12" s="1037"/>
    </row>
    <row r="13" spans="2:22" x14ac:dyDescent="0.35">
      <c r="B13" s="1037"/>
      <c r="C13" s="1037"/>
      <c r="D13" s="1037"/>
      <c r="E13" s="1037"/>
      <c r="F13" s="1037"/>
      <c r="G13" s="1037"/>
      <c r="H13" s="1037"/>
      <c r="I13" s="1037"/>
      <c r="J13" s="1037"/>
      <c r="K13" s="1037"/>
      <c r="L13" s="1037"/>
      <c r="M13" s="1037"/>
      <c r="N13" s="1037"/>
      <c r="O13" s="1037"/>
      <c r="P13" s="1037"/>
      <c r="Q13" s="1037"/>
      <c r="R13" s="1037"/>
      <c r="S13" s="1037"/>
      <c r="T13" s="1037"/>
      <c r="U13" s="1037"/>
      <c r="V13" s="1037"/>
    </row>
    <row r="14" spans="2:22" x14ac:dyDescent="0.35">
      <c r="B14" s="1037"/>
      <c r="C14" s="1037"/>
      <c r="D14" s="1037"/>
      <c r="E14" s="1037"/>
      <c r="F14" s="1037"/>
      <c r="G14" s="1037"/>
      <c r="H14" s="1037"/>
      <c r="I14" s="1037"/>
      <c r="J14" s="1037"/>
      <c r="K14" s="1037"/>
      <c r="L14" s="1037"/>
      <c r="M14" s="1037"/>
      <c r="N14" s="1037"/>
      <c r="O14" s="1037"/>
      <c r="P14" s="1037"/>
      <c r="Q14" s="1037"/>
      <c r="R14" s="1037"/>
      <c r="S14" s="1037"/>
      <c r="T14" s="1037"/>
      <c r="U14" s="1037"/>
      <c r="V14" s="1037"/>
    </row>
    <row r="15" spans="2:22" ht="5.4" customHeight="1" x14ac:dyDescent="0.35">
      <c r="B15" s="1037"/>
      <c r="C15" s="1037"/>
      <c r="D15" s="1037"/>
      <c r="E15" s="1037"/>
      <c r="F15" s="1037"/>
      <c r="G15" s="1037"/>
      <c r="H15" s="1037"/>
      <c r="I15" s="1037"/>
      <c r="J15" s="1037"/>
      <c r="K15" s="1037"/>
      <c r="L15" s="1037"/>
      <c r="M15" s="1037"/>
      <c r="N15" s="1037"/>
      <c r="O15" s="1037"/>
      <c r="P15" s="1037"/>
      <c r="Q15" s="1037"/>
      <c r="R15" s="1037"/>
      <c r="S15" s="1037"/>
      <c r="T15" s="1037"/>
      <c r="U15" s="1037"/>
      <c r="V15" s="1037"/>
    </row>
    <row r="16" spans="2:22" ht="4.2" customHeight="1" x14ac:dyDescent="0.35">
      <c r="B16" s="1037"/>
      <c r="C16" s="1037"/>
      <c r="D16" s="1037"/>
      <c r="E16" s="1037"/>
      <c r="F16" s="1037"/>
      <c r="G16" s="1037"/>
      <c r="H16" s="1037"/>
      <c r="I16" s="1037"/>
      <c r="J16" s="1037"/>
      <c r="K16" s="1037"/>
      <c r="L16" s="1037"/>
      <c r="M16" s="1037"/>
      <c r="N16" s="1037"/>
      <c r="O16" s="1037"/>
      <c r="P16" s="1037"/>
      <c r="Q16" s="1037"/>
      <c r="R16" s="1037"/>
      <c r="S16" s="1037"/>
      <c r="T16" s="1037"/>
      <c r="U16" s="1037"/>
      <c r="V16" s="1037"/>
    </row>
    <row r="17" spans="2:22" hidden="1" x14ac:dyDescent="0.35">
      <c r="B17" s="1037"/>
      <c r="C17" s="1037"/>
      <c r="D17" s="1037"/>
      <c r="E17" s="1037"/>
      <c r="F17" s="1037"/>
      <c r="G17" s="1037"/>
      <c r="H17" s="1037"/>
      <c r="I17" s="1037"/>
      <c r="J17" s="1037"/>
      <c r="K17" s="1037"/>
      <c r="L17" s="1037"/>
      <c r="M17" s="1037"/>
      <c r="N17" s="1037"/>
      <c r="O17" s="1037"/>
      <c r="P17" s="1037"/>
      <c r="Q17" s="1037"/>
      <c r="R17" s="1037"/>
      <c r="S17" s="1037"/>
      <c r="T17" s="1037"/>
      <c r="U17" s="1037"/>
      <c r="V17" s="1037"/>
    </row>
    <row r="18" spans="2:22" ht="6.6" customHeight="1" x14ac:dyDescent="0.35">
      <c r="B18" s="1037"/>
      <c r="C18" s="1037"/>
      <c r="D18" s="1037"/>
      <c r="E18" s="1037"/>
      <c r="F18" s="1037"/>
      <c r="G18" s="1037"/>
      <c r="H18" s="1037"/>
      <c r="I18" s="1037"/>
      <c r="J18" s="1037"/>
      <c r="K18" s="1037"/>
      <c r="L18" s="1037"/>
      <c r="M18" s="1037"/>
      <c r="N18" s="1037"/>
      <c r="O18" s="1037"/>
      <c r="P18" s="1037"/>
      <c r="Q18" s="1037"/>
      <c r="R18" s="1037"/>
      <c r="S18" s="1037"/>
      <c r="T18" s="1037"/>
      <c r="U18" s="1037"/>
      <c r="V18" s="1037"/>
    </row>
    <row r="19" spans="2:22" ht="2.4" customHeight="1" x14ac:dyDescent="0.35">
      <c r="B19" s="1037"/>
      <c r="C19" s="1037"/>
      <c r="D19" s="1037"/>
      <c r="E19" s="1037"/>
      <c r="F19" s="1037"/>
      <c r="G19" s="1037"/>
      <c r="H19" s="1037"/>
      <c r="I19" s="1037"/>
      <c r="J19" s="1037"/>
      <c r="K19" s="1037"/>
      <c r="L19" s="1037"/>
      <c r="M19" s="1037"/>
      <c r="N19" s="1037"/>
      <c r="O19" s="1037"/>
      <c r="P19" s="1037"/>
      <c r="Q19" s="1037"/>
      <c r="R19" s="1037"/>
      <c r="S19" s="1037"/>
      <c r="T19" s="1037"/>
      <c r="U19" s="1037"/>
      <c r="V19" s="1037"/>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39" t="s">
        <v>1324</v>
      </c>
      <c r="C25" s="1039"/>
      <c r="D25" s="1039"/>
      <c r="E25" s="1039"/>
      <c r="F25" s="1039"/>
      <c r="G25" s="1039"/>
      <c r="H25" s="1039"/>
      <c r="I25" s="1039"/>
      <c r="J25" s="1039"/>
      <c r="K25" s="1039"/>
      <c r="L25" s="1039"/>
      <c r="M25" s="1039"/>
      <c r="N25" s="1039"/>
      <c r="O25" s="1039"/>
      <c r="P25" s="1039"/>
      <c r="Q25" s="1039"/>
      <c r="R25" s="1039"/>
      <c r="S25" s="1039"/>
      <c r="T25" s="1039"/>
      <c r="U25" s="1039"/>
      <c r="V25" s="1039"/>
    </row>
    <row r="26" spans="2:22" ht="20.399999999999999" customHeight="1" x14ac:dyDescent="0.35">
      <c r="B26" s="1038" t="s">
        <v>1449</v>
      </c>
      <c r="C26" s="1038"/>
      <c r="D26" s="1038"/>
      <c r="E26" s="1038"/>
      <c r="F26" s="1038"/>
      <c r="G26" s="1038"/>
      <c r="H26" s="1038"/>
      <c r="I26" s="1038"/>
      <c r="J26" s="1038"/>
      <c r="K26" s="1038"/>
      <c r="L26" s="1038"/>
      <c r="M26" s="1038"/>
      <c r="N26" s="1038"/>
      <c r="O26" s="1038"/>
      <c r="P26" s="1038"/>
      <c r="Q26" s="1038"/>
      <c r="R26" s="1038"/>
      <c r="S26" s="1038"/>
      <c r="T26" s="1038"/>
      <c r="U26" s="1038"/>
      <c r="V26" s="1038"/>
    </row>
    <row r="27" spans="2:22" ht="21" customHeight="1" x14ac:dyDescent="0.35">
      <c r="B27" s="1041" t="s">
        <v>1450</v>
      </c>
      <c r="C27" s="1041"/>
      <c r="D27" s="1041"/>
      <c r="E27" s="1041"/>
      <c r="F27" s="1041"/>
      <c r="G27" s="1041"/>
      <c r="H27" s="1041"/>
      <c r="I27" s="1041"/>
      <c r="J27" s="1041"/>
      <c r="K27" s="1041"/>
      <c r="L27" s="1041"/>
      <c r="M27" s="1041"/>
      <c r="N27" s="1041"/>
      <c r="O27" s="1041"/>
      <c r="P27" s="1041"/>
      <c r="Q27" s="1041"/>
      <c r="R27" s="1041"/>
      <c r="S27" s="1041"/>
      <c r="T27" s="1041"/>
      <c r="U27" s="1041"/>
      <c r="V27" s="1041"/>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0"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0"/>
      <c r="D31" s="1040"/>
      <c r="E31" s="1040"/>
      <c r="F31" s="1040"/>
      <c r="G31" s="1040"/>
      <c r="H31" s="1040"/>
      <c r="I31" s="1040"/>
      <c r="J31" s="1040"/>
      <c r="K31" s="1040"/>
      <c r="L31" s="1040"/>
      <c r="M31" s="1040"/>
      <c r="N31" s="1040"/>
      <c r="O31" s="1040"/>
      <c r="P31" s="1040"/>
      <c r="Q31" s="1040"/>
      <c r="R31" s="1040"/>
      <c r="S31" s="1040"/>
      <c r="T31" s="1040"/>
      <c r="U31" s="1040"/>
      <c r="V31" s="1040"/>
    </row>
    <row r="32" spans="2:22" ht="21" customHeight="1" x14ac:dyDescent="0.35">
      <c r="B32" s="1041"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1"/>
      <c r="D32" s="1041"/>
      <c r="E32" s="1041"/>
      <c r="F32" s="1041"/>
      <c r="G32" s="1041"/>
      <c r="H32" s="1041"/>
      <c r="I32" s="1041"/>
      <c r="J32" s="1041"/>
      <c r="K32" s="1041"/>
      <c r="L32" s="1041"/>
      <c r="M32" s="1041"/>
      <c r="N32" s="1041"/>
      <c r="O32" s="1041"/>
      <c r="P32" s="1041"/>
      <c r="Q32" s="1041"/>
      <c r="R32" s="1041"/>
      <c r="S32" s="1041"/>
      <c r="T32" s="1041"/>
      <c r="U32" s="1041"/>
      <c r="V32" s="1041"/>
    </row>
    <row r="33" spans="2:22" ht="20.399999999999999" customHeight="1" x14ac:dyDescent="0.35">
      <c r="B33" s="1039" t="s">
        <v>1451</v>
      </c>
      <c r="C33" s="1039"/>
      <c r="D33" s="1039"/>
      <c r="E33" s="1039"/>
      <c r="F33" s="1039"/>
      <c r="G33" s="1039"/>
      <c r="H33" s="1039"/>
      <c r="I33" s="1039"/>
      <c r="J33" s="1039"/>
      <c r="K33" s="1039"/>
      <c r="L33" s="1039"/>
      <c r="M33" s="1039"/>
      <c r="N33" s="1039"/>
      <c r="O33" s="1039"/>
      <c r="P33" s="1039"/>
      <c r="Q33" s="1039"/>
      <c r="R33" s="1039"/>
      <c r="S33" s="1039"/>
      <c r="T33" s="1039"/>
      <c r="U33" s="1039"/>
      <c r="V33" s="1039"/>
    </row>
    <row r="34" spans="2:22" ht="24.6" customHeight="1" x14ac:dyDescent="0.35">
      <c r="B34" s="1042" t="s">
        <v>1452</v>
      </c>
      <c r="C34" s="1042"/>
      <c r="D34" s="1042"/>
      <c r="E34" s="1042"/>
      <c r="F34" s="1042"/>
      <c r="G34" s="1042"/>
      <c r="H34" s="1042"/>
      <c r="I34" s="1042"/>
      <c r="J34" s="1042"/>
      <c r="K34" s="1042"/>
      <c r="L34" s="1042"/>
      <c r="M34" s="1042"/>
      <c r="N34" s="1042"/>
      <c r="O34" s="1042"/>
      <c r="P34" s="1042"/>
      <c r="Q34" s="1042"/>
      <c r="R34" s="1042"/>
      <c r="S34" s="1042"/>
      <c r="T34" s="1042"/>
      <c r="U34" s="1042"/>
      <c r="V34" s="1042"/>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39" t="s">
        <v>1588</v>
      </c>
      <c r="C36" s="1039"/>
      <c r="D36" s="1039"/>
      <c r="E36" s="1039"/>
      <c r="F36" s="1039"/>
      <c r="G36" s="1039"/>
      <c r="H36" s="1039"/>
      <c r="I36" s="1039"/>
      <c r="J36" s="1039"/>
      <c r="K36" s="1039"/>
      <c r="L36" s="1039"/>
      <c r="M36" s="1039"/>
      <c r="N36" s="1039"/>
      <c r="O36" s="1039"/>
      <c r="P36" s="1039"/>
      <c r="Q36" s="1039"/>
      <c r="R36" s="1039"/>
      <c r="S36" s="1039"/>
      <c r="T36" s="1039"/>
      <c r="U36" s="1039"/>
      <c r="V36" s="1039"/>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B12" zoomScale="55" zoomScaleNormal="55" workbookViewId="0">
      <selection activeCell="D37" sqref="D37"/>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64" t="str">
        <f>IF(Triagem!C35="","Não indicou na TRIAGEM se esta folha se adequa ao projeto",IF(Triagem!G35="Não","Não necessita de preencher esta folha","Folha a ser preenchida"))</f>
        <v>Não indicou na TRIAGEM se esta folha se adequa ao projeto</v>
      </c>
      <c r="E9" s="1264"/>
      <c r="F9" s="1264"/>
      <c r="G9" s="1264"/>
      <c r="H9" s="1264"/>
      <c r="I9" s="1264"/>
      <c r="J9" s="1264"/>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0"/>
      <c r="H130" s="1261"/>
      <c r="I130" s="1262"/>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19" t="s">
        <v>1578</v>
      </c>
      <c r="C138" s="1119"/>
      <c r="D138" s="1119"/>
      <c r="E138" s="1119"/>
      <c r="F138" s="1119"/>
      <c r="G138" s="1119"/>
      <c r="H138" s="1119"/>
      <c r="I138" s="1119"/>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19" t="s">
        <v>1579</v>
      </c>
      <c r="C139" s="1119"/>
      <c r="D139" s="1119"/>
      <c r="E139" s="1119"/>
      <c r="F139" s="1119"/>
      <c r="G139" s="1119"/>
      <c r="H139" s="1119"/>
      <c r="I139" s="1119"/>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63" t="s">
        <v>1580</v>
      </c>
      <c r="C140" s="1263"/>
      <c r="D140" s="1263"/>
      <c r="E140" s="1263"/>
      <c r="F140" s="1263"/>
      <c r="G140" s="1263"/>
      <c r="H140" s="1263"/>
      <c r="I140" s="1263"/>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63" t="s">
        <v>1581</v>
      </c>
      <c r="C141" s="1263"/>
      <c r="D141" s="1263"/>
      <c r="E141" s="1263"/>
      <c r="F141" s="1263"/>
      <c r="G141" s="1263"/>
      <c r="H141" s="1263"/>
      <c r="I141" s="1263"/>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43" t="s">
        <v>36</v>
      </c>
      <c r="F254" s="1081"/>
      <c r="G254" s="1082"/>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58" t="s">
        <v>1259</v>
      </c>
      <c r="C256" s="1259"/>
      <c r="D256" s="1265"/>
      <c r="E256" s="857">
        <f>FAEV!D110</f>
        <v>0</v>
      </c>
      <c r="F256" s="857">
        <f>FAEV!E110</f>
        <v>0</v>
      </c>
      <c r="G256" s="857">
        <f>FAEV!F110</f>
        <v>0</v>
      </c>
      <c r="H256" s="858">
        <f>E256+F256+G256</f>
        <v>0</v>
      </c>
    </row>
    <row r="257" spans="2:8" ht="16.95" customHeight="1" x14ac:dyDescent="0.3">
      <c r="B257" s="1258" t="s">
        <v>1260</v>
      </c>
      <c r="C257" s="1259"/>
      <c r="D257" s="1259"/>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28"/>
      <c r="E8" s="1129"/>
      <c r="F8" s="1130"/>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8"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4" t="str">
        <f>IF(Triagem!C36="","Não indicou na TRIAGEM se esta folha se adequa ao projeto",IF(Triagem!C36="Não","Não necessita de preencher esta folha","Folha a ser preenchida"))</f>
        <v>Não indicou na TRIAGEM se esta folha se adequa ao projeto</v>
      </c>
      <c r="E8" s="1264"/>
      <c r="F8" s="1264"/>
      <c r="G8" s="1264"/>
      <c r="H8" s="1264"/>
      <c r="I8" s="1264"/>
      <c r="J8" s="1264"/>
      <c r="K8" s="375"/>
    </row>
    <row r="9" spans="2:17" x14ac:dyDescent="0.3"/>
    <row r="10" spans="2:17" x14ac:dyDescent="0.3"/>
    <row r="11" spans="2:17" ht="18" x14ac:dyDescent="0.35">
      <c r="B11" s="375" t="s">
        <v>1287</v>
      </c>
    </row>
    <row r="12" spans="2:17" x14ac:dyDescent="0.3"/>
    <row r="13" spans="2:17" ht="54" customHeight="1" x14ac:dyDescent="0.3">
      <c r="B13" s="1252" t="s">
        <v>1319</v>
      </c>
      <c r="C13" s="1252"/>
      <c r="D13" s="1252"/>
      <c r="E13" s="1252"/>
      <c r="F13" s="1252"/>
      <c r="G13" s="1252"/>
      <c r="H13" s="1252"/>
      <c r="I13" s="1252"/>
      <c r="J13" s="1252"/>
      <c r="K13" s="125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49" t="s">
        <v>1286</v>
      </c>
      <c r="C21" s="1149"/>
      <c r="D21" s="1149"/>
      <c r="E21" s="1149"/>
      <c r="F21" s="1149"/>
      <c r="G21" s="1149"/>
      <c r="H21" s="1149"/>
      <c r="I21" s="1149"/>
      <c r="J21" s="1149"/>
      <c r="K21" s="1149"/>
      <c r="L21" s="234"/>
      <c r="M21" s="234"/>
      <c r="N21" s="234"/>
      <c r="O21" s="234"/>
      <c r="P21" s="234"/>
      <c r="Q21" s="234"/>
      <c r="R21" s="232"/>
      <c r="S21" s="232"/>
      <c r="T21" s="232"/>
      <c r="U21" s="232"/>
      <c r="V21" s="232"/>
      <c r="W21" s="232"/>
      <c r="X21" s="232"/>
      <c r="Y21" s="232"/>
      <c r="Z21" s="232"/>
      <c r="AA21" s="233"/>
    </row>
    <row r="22" spans="1:27" ht="34.200000000000003" customHeight="1" x14ac:dyDescent="0.3">
      <c r="B22" s="1149" t="s">
        <v>1582</v>
      </c>
      <c r="C22" s="1149"/>
      <c r="D22" s="1149"/>
      <c r="E22" s="1149"/>
      <c r="F22" s="1149"/>
      <c r="G22" s="1149"/>
      <c r="H22" s="1149"/>
      <c r="I22" s="1149"/>
      <c r="J22" s="1149"/>
      <c r="K22" s="1149"/>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70" t="s">
        <v>1274</v>
      </c>
      <c r="C26" s="1070" t="s">
        <v>1320</v>
      </c>
      <c r="D26" s="1070" t="s">
        <v>1275</v>
      </c>
      <c r="E26" s="1144" t="s">
        <v>1283</v>
      </c>
      <c r="F26" s="1144"/>
      <c r="G26" s="1144"/>
      <c r="H26" s="1145" t="s">
        <v>1284</v>
      </c>
      <c r="I26" s="1145"/>
      <c r="J26" s="1145"/>
      <c r="K26" s="1070" t="s">
        <v>1279</v>
      </c>
    </row>
    <row r="27" spans="1:27" ht="105" customHeight="1" x14ac:dyDescent="0.3">
      <c r="B27" s="1083"/>
      <c r="C27" s="1083"/>
      <c r="D27" s="1083"/>
      <c r="E27" s="237" t="s">
        <v>784</v>
      </c>
      <c r="F27" s="237" t="s">
        <v>30</v>
      </c>
      <c r="G27" s="237" t="s">
        <v>30</v>
      </c>
      <c r="H27" s="237" t="s">
        <v>751</v>
      </c>
      <c r="I27" s="238" t="s">
        <v>1261</v>
      </c>
      <c r="J27" s="238" t="s">
        <v>936</v>
      </c>
      <c r="K27" s="1083"/>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43" t="s">
        <v>612</v>
      </c>
      <c r="G135" s="1081"/>
      <c r="H135" s="1082"/>
    </row>
    <row r="136" spans="2:17" s="357" customFormat="1" ht="31.2" x14ac:dyDescent="0.3">
      <c r="F136" s="370" t="str">
        <f>'Emissões Fugitivas'!E188</f>
        <v>Construção ou fase preparatória</v>
      </c>
      <c r="G136" s="371" t="s">
        <v>37</v>
      </c>
      <c r="H136" s="372" t="s">
        <v>264</v>
      </c>
    </row>
    <row r="137" spans="2:17" ht="18" x14ac:dyDescent="0.3">
      <c r="C137" s="1143" t="s">
        <v>1280</v>
      </c>
      <c r="D137" s="1081"/>
      <c r="E137" s="1082"/>
      <c r="F137" s="825">
        <f>SUMIF($B$29:$B$128,F$136,$K$29:$K$128)</f>
        <v>0</v>
      </c>
      <c r="G137" s="825">
        <f>SUMIF($B$29:$B$128,G$136,$K$29:$K$128)</f>
        <v>0</v>
      </c>
      <c r="H137" s="825">
        <f>SUMIF($B$29:$B$128,H$136,$K$29:$K$128)</f>
        <v>0</v>
      </c>
      <c r="I137" s="285" t="s">
        <v>41</v>
      </c>
    </row>
    <row r="138" spans="2:17" ht="18" x14ac:dyDescent="0.3">
      <c r="C138" s="1143" t="s">
        <v>1281</v>
      </c>
      <c r="D138" s="1081"/>
      <c r="E138" s="1082"/>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B31"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4" t="str">
        <f>IF(Triagem!C37="","Não indicou na TRIAGEM se esta folha se adequa ao projeto",IF(Triagem!C37="Não","Não necessita de preencher esta folha","Folha a ser preenchida"))</f>
        <v>Não indicou na TRIAGEM se esta folha se adequa ao projeto</v>
      </c>
      <c r="E8" s="1264"/>
      <c r="F8" s="1264"/>
      <c r="G8" s="1264"/>
      <c r="H8" s="1264"/>
      <c r="I8" s="1264"/>
      <c r="J8" s="1264"/>
      <c r="K8" s="375"/>
    </row>
    <row r="9" spans="2:17" x14ac:dyDescent="0.3"/>
    <row r="10" spans="2:17" x14ac:dyDescent="0.3"/>
    <row r="11" spans="2:17" ht="18" x14ac:dyDescent="0.35">
      <c r="B11" s="375" t="s">
        <v>1310</v>
      </c>
    </row>
    <row r="12" spans="2:17" x14ac:dyDescent="0.3"/>
    <row r="13" spans="2:17" ht="51.6" customHeight="1" x14ac:dyDescent="0.3">
      <c r="B13" s="1252" t="s">
        <v>1534</v>
      </c>
      <c r="C13" s="1252"/>
      <c r="D13" s="1252"/>
      <c r="E13" s="1252"/>
      <c r="F13" s="1252"/>
      <c r="G13" s="1252"/>
      <c r="H13" s="1252"/>
      <c r="I13" s="1252"/>
      <c r="J13" s="1252"/>
      <c r="K13" s="125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49" t="s">
        <v>1585</v>
      </c>
      <c r="C20" s="1149"/>
      <c r="D20" s="1149"/>
      <c r="E20" s="1149"/>
      <c r="F20" s="1149"/>
      <c r="G20" s="1149"/>
      <c r="H20" s="1149"/>
      <c r="I20" s="1149"/>
      <c r="J20" s="1149"/>
      <c r="K20" s="1149"/>
      <c r="L20" s="343"/>
      <c r="M20" s="343"/>
      <c r="N20" s="343"/>
      <c r="O20" s="343"/>
      <c r="P20" s="343"/>
      <c r="Q20" s="234"/>
      <c r="R20" s="234"/>
      <c r="S20" s="234"/>
      <c r="T20" s="234"/>
      <c r="U20" s="234"/>
      <c r="V20" s="234"/>
      <c r="W20" s="234"/>
      <c r="X20" s="234"/>
      <c r="Y20" s="234"/>
      <c r="Z20" s="234"/>
      <c r="AA20" s="234"/>
    </row>
    <row r="21" spans="2:27" ht="15.6" customHeight="1" x14ac:dyDescent="0.3">
      <c r="B21" s="1149" t="s">
        <v>1306</v>
      </c>
      <c r="C21" s="1149"/>
      <c r="D21" s="1149"/>
      <c r="E21" s="1149"/>
      <c r="F21" s="1149"/>
      <c r="G21" s="1149"/>
      <c r="H21" s="1149"/>
      <c r="I21" s="1149"/>
      <c r="J21" s="1149"/>
      <c r="K21" s="1149"/>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66" t="s">
        <v>1307</v>
      </c>
      <c r="E23" s="1266"/>
      <c r="F23" s="1266"/>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67" t="str">
        <f>FAPr!C12</f>
        <v>Emissões do processo de tratamento do produto (efetuado por terceiros)</v>
      </c>
      <c r="E24" s="1267"/>
      <c r="F24" s="1267"/>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67" t="str">
        <f>FAPr!C13</f>
        <v>Emissões do uso do produto</v>
      </c>
      <c r="E25" s="1267"/>
      <c r="F25" s="1267"/>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67" t="str">
        <f>FAPr!C14</f>
        <v>Emissões do fim de vida do produto (i.e., emissões de GEE do tratamento e destino final)</v>
      </c>
      <c r="E26" s="1267"/>
      <c r="F26" s="1267"/>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70" t="s">
        <v>1274</v>
      </c>
      <c r="C32" s="1070" t="s">
        <v>1288</v>
      </c>
      <c r="D32" s="1070" t="s">
        <v>1289</v>
      </c>
      <c r="E32" s="1193" t="s">
        <v>1295</v>
      </c>
      <c r="F32" s="1194"/>
      <c r="G32" s="1195"/>
      <c r="H32" s="1184" t="s">
        <v>1609</v>
      </c>
      <c r="I32" s="1186"/>
      <c r="J32" s="1084" t="s">
        <v>1296</v>
      </c>
      <c r="K32" s="1070" t="s">
        <v>1297</v>
      </c>
    </row>
    <row r="33" spans="1:13" ht="42.6" customHeight="1" x14ac:dyDescent="0.3">
      <c r="B33" s="1083"/>
      <c r="C33" s="1083"/>
      <c r="D33" s="1083"/>
      <c r="E33" s="237" t="s">
        <v>784</v>
      </c>
      <c r="F33" s="237" t="s">
        <v>30</v>
      </c>
      <c r="G33" s="238" t="s">
        <v>1304</v>
      </c>
      <c r="H33" s="238" t="s">
        <v>577</v>
      </c>
      <c r="I33" s="238" t="s">
        <v>33</v>
      </c>
      <c r="J33" s="1086"/>
      <c r="K33" s="1083"/>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43" t="s">
        <v>612</v>
      </c>
      <c r="G141" s="1081"/>
      <c r="H141" s="1082"/>
    </row>
    <row r="142" spans="2:12" s="357" customFormat="1" ht="31.2" x14ac:dyDescent="0.3">
      <c r="F142" s="370" t="str">
        <f>'Emissões Fugitivas'!E188</f>
        <v>Construção ou fase preparatória</v>
      </c>
      <c r="G142" s="371" t="s">
        <v>37</v>
      </c>
      <c r="H142" s="372" t="s">
        <v>264</v>
      </c>
    </row>
    <row r="143" spans="2:12" ht="18" x14ac:dyDescent="0.3">
      <c r="C143" s="1143" t="s">
        <v>1280</v>
      </c>
      <c r="D143" s="1081"/>
      <c r="E143" s="1082"/>
      <c r="F143" s="825">
        <f>SUMIF($B$35:$B$134,F$142,$K$35:$K$134)</f>
        <v>0</v>
      </c>
      <c r="G143" s="825">
        <f>SUMIF($B$35:$B$134,G$142,$K$35:$K$134)</f>
        <v>0</v>
      </c>
      <c r="H143" s="825">
        <f>SUMIF($B$35:$B$134,H$142,$K$35:$K$134)</f>
        <v>0</v>
      </c>
      <c r="I143" s="285" t="s">
        <v>41</v>
      </c>
    </row>
    <row r="144" spans="2:12" ht="18" x14ac:dyDescent="0.3">
      <c r="C144" s="1143" t="s">
        <v>1281</v>
      </c>
      <c r="D144" s="1081"/>
      <c r="E144" s="1082"/>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B20:K20"/>
    <mergeCell ref="B13:K13"/>
    <mergeCell ref="D8:J8"/>
    <mergeCell ref="J32:J33"/>
    <mergeCell ref="H32:I32"/>
    <mergeCell ref="K32:K33"/>
    <mergeCell ref="B21:K21"/>
    <mergeCell ref="D23:F23"/>
    <mergeCell ref="D24:F24"/>
    <mergeCell ref="D25:F25"/>
    <mergeCell ref="D26:F26"/>
    <mergeCell ref="F141:H141"/>
    <mergeCell ref="C143:E143"/>
    <mergeCell ref="C144:E144"/>
    <mergeCell ref="B32:B33"/>
    <mergeCell ref="D32:D33"/>
    <mergeCell ref="C32:C33"/>
    <mergeCell ref="E32:G32"/>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25" t="s">
        <v>36</v>
      </c>
      <c r="B19" s="1125" t="s">
        <v>563</v>
      </c>
      <c r="C19" s="1125" t="str">
        <f>A9</f>
        <v>% condutor veículo</v>
      </c>
      <c r="D19" s="21" t="str">
        <f>A10</f>
        <v>% passageiro veículo</v>
      </c>
      <c r="E19" s="1125" t="str">
        <f>A11</f>
        <v>% transporte público</v>
      </c>
      <c r="F19" s="1125" t="s">
        <v>41</v>
      </c>
      <c r="G19" s="1125" t="s">
        <v>41</v>
      </c>
    </row>
    <row r="20" spans="1:7" ht="39" customHeight="1" x14ac:dyDescent="0.3">
      <c r="A20" s="1126"/>
      <c r="B20" s="1126"/>
      <c r="C20" s="1126"/>
      <c r="D20" s="82"/>
      <c r="E20" s="1126"/>
      <c r="F20" s="1126"/>
      <c r="G20" s="1126"/>
    </row>
    <row r="21" spans="1:7" ht="14.4" customHeight="1" x14ac:dyDescent="0.3">
      <c r="A21" s="1163"/>
      <c r="B21" s="1163"/>
      <c r="C21" s="1163"/>
      <c r="D21" s="70"/>
      <c r="E21" s="1163"/>
      <c r="F21" s="1163"/>
      <c r="G21" s="1163"/>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399999999999999" x14ac:dyDescent="0.3">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45" zoomScale="55" zoomScaleNormal="55"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69" t="s">
        <v>1240</v>
      </c>
      <c r="E15" s="1270"/>
      <c r="F15" s="1271"/>
      <c r="G15" s="1269" t="s">
        <v>1241</v>
      </c>
      <c r="H15" s="1270"/>
      <c r="I15" s="1270"/>
      <c r="J15" s="1271"/>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0</v>
      </c>
      <c r="E17" s="865">
        <f>SUM(F48:F53)</f>
        <v>0</v>
      </c>
      <c r="F17" s="865">
        <f>SUM(H48:H53)</f>
        <v>0</v>
      </c>
      <c r="G17" s="865">
        <f>SUM(E48:E53)</f>
        <v>0</v>
      </c>
      <c r="H17" s="865">
        <f>SUM(G48:G53)</f>
        <v>0</v>
      </c>
      <c r="I17" s="865">
        <f>SUM(I48:I53)</f>
        <v>0</v>
      </c>
      <c r="J17" s="958">
        <f>SUM(G17:I17)</f>
        <v>0</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0</v>
      </c>
      <c r="E19" s="866">
        <f>SUM(F60:F67)</f>
        <v>0</v>
      </c>
      <c r="F19" s="866">
        <f>SUM(H60:H67)</f>
        <v>0</v>
      </c>
      <c r="G19" s="866">
        <f>SUM(E60:E67)</f>
        <v>0</v>
      </c>
      <c r="H19" s="866">
        <f>SUM(G60:G67)</f>
        <v>0</v>
      </c>
      <c r="I19" s="866">
        <f>SUM(I60:I67)</f>
        <v>0</v>
      </c>
      <c r="J19" s="958">
        <f>SUM(G19:I19)</f>
        <v>0</v>
      </c>
      <c r="K19" s="350"/>
    </row>
    <row r="20" spans="3:12" x14ac:dyDescent="0.3">
      <c r="C20" s="349" t="s">
        <v>1026</v>
      </c>
      <c r="D20" s="867">
        <f>SUM(D17:D19)</f>
        <v>0</v>
      </c>
      <c r="E20" s="868">
        <f t="shared" ref="E20:I20" si="0">SUM(E17:E19)</f>
        <v>0</v>
      </c>
      <c r="F20" s="869">
        <f t="shared" si="0"/>
        <v>0</v>
      </c>
      <c r="G20" s="867">
        <f t="shared" si="0"/>
        <v>0</v>
      </c>
      <c r="H20" s="868">
        <f t="shared" si="0"/>
        <v>0</v>
      </c>
      <c r="I20" s="869">
        <f t="shared" si="0"/>
        <v>0</v>
      </c>
      <c r="J20" s="870">
        <f>SUM(J17:J19)</f>
        <v>0</v>
      </c>
      <c r="K20" s="350"/>
    </row>
    <row r="21" spans="3:12" x14ac:dyDescent="0.3">
      <c r="C21" s="955" t="s">
        <v>1242</v>
      </c>
      <c r="D21" s="866">
        <f>D54</f>
        <v>2843.5284589542098</v>
      </c>
      <c r="E21" s="866">
        <f>F54</f>
        <v>-1674.047535326996</v>
      </c>
      <c r="F21" s="866">
        <f>H54</f>
        <v>0</v>
      </c>
      <c r="G21" s="866">
        <f>E54</f>
        <v>7582.7425572112243</v>
      </c>
      <c r="H21" s="866">
        <f>G54</f>
        <v>-66961.901413079846</v>
      </c>
      <c r="I21" s="866">
        <f>I54</f>
        <v>0</v>
      </c>
      <c r="J21" s="959">
        <f>SUM(G21:I21)</f>
        <v>-59379.15885586862</v>
      </c>
      <c r="K21" s="355"/>
      <c r="L21" s="304"/>
    </row>
    <row r="22" spans="3:12" x14ac:dyDescent="0.3">
      <c r="C22" s="349" t="s">
        <v>1536</v>
      </c>
      <c r="D22" s="871">
        <f>D20+D21</f>
        <v>2843.5284589542098</v>
      </c>
      <c r="E22" s="872">
        <f t="shared" ref="E22:I22" si="1">E20+E21</f>
        <v>-1674.047535326996</v>
      </c>
      <c r="F22" s="873">
        <f t="shared" si="1"/>
        <v>0</v>
      </c>
      <c r="G22" s="871">
        <f t="shared" si="1"/>
        <v>7582.7425572112243</v>
      </c>
      <c r="H22" s="872">
        <f t="shared" si="1"/>
        <v>-66961.901413079846</v>
      </c>
      <c r="I22" s="873">
        <f t="shared" si="1"/>
        <v>0</v>
      </c>
      <c r="J22" s="870">
        <f>SUM(G22:I22)</f>
        <v>-59379.15885586862</v>
      </c>
      <c r="K22" s="355"/>
      <c r="L22" s="304"/>
    </row>
    <row r="23" spans="3:12" x14ac:dyDescent="0.3">
      <c r="C23" s="955" t="s">
        <v>1243</v>
      </c>
      <c r="D23" s="956"/>
      <c r="E23" s="956"/>
      <c r="F23" s="956"/>
      <c r="G23" s="956"/>
      <c r="H23" s="956"/>
      <c r="I23" s="956"/>
      <c r="J23" s="957">
        <f>J69</f>
        <v>0</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72" t="s">
        <v>713</v>
      </c>
      <c r="E44" s="1273"/>
      <c r="F44" s="1273"/>
      <c r="G44" s="1273"/>
      <c r="H44" s="1273"/>
      <c r="I44" s="1274"/>
      <c r="J44" s="1147" t="s">
        <v>1535</v>
      </c>
      <c r="K44" s="351"/>
      <c r="L44" s="1268"/>
    </row>
    <row r="45" spans="3:21" ht="19.95" customHeight="1" x14ac:dyDescent="0.3">
      <c r="D45" s="1272" t="str">
        <f>'Fatores de Emissão'!B12</f>
        <v>Construção ou fase preparatória</v>
      </c>
      <c r="E45" s="1274"/>
      <c r="F45" s="1272" t="str">
        <f>'Fatores de Emissão'!B13</f>
        <v>Exploração</v>
      </c>
      <c r="G45" s="1274"/>
      <c r="H45" s="1272" t="str">
        <f>'Fatores de Emissão'!B14</f>
        <v>Desativação</v>
      </c>
      <c r="I45" s="1274"/>
      <c r="J45" s="1162"/>
      <c r="K45" s="351"/>
      <c r="L45" s="1268"/>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48"/>
      <c r="K46" s="351"/>
      <c r="L46" s="1268"/>
      <c r="N46" s="259"/>
      <c r="O46" s="259"/>
      <c r="P46" s="259"/>
      <c r="Q46" s="259"/>
      <c r="R46" s="259"/>
      <c r="S46" s="259"/>
      <c r="T46" s="259"/>
      <c r="U46" s="259"/>
    </row>
    <row r="47" spans="3:21" x14ac:dyDescent="0.3">
      <c r="C47" s="591" t="s">
        <v>1246</v>
      </c>
      <c r="D47" s="593"/>
      <c r="E47" s="593"/>
      <c r="F47" s="593"/>
      <c r="G47" s="593"/>
      <c r="H47" s="593"/>
      <c r="I47" s="593"/>
      <c r="J47" s="594">
        <f>SUM(J48:J53)</f>
        <v>0</v>
      </c>
      <c r="K47" s="353" t="e">
        <f t="shared" ref="K47" si="2">J47/$J$20</f>
        <v>#DIV/0!</v>
      </c>
      <c r="L47" s="352"/>
      <c r="N47" s="259"/>
      <c r="O47" s="259"/>
      <c r="P47" s="259"/>
      <c r="Q47" s="259"/>
      <c r="R47" s="259"/>
      <c r="S47" s="259"/>
      <c r="T47" s="259"/>
      <c r="U47" s="259"/>
    </row>
    <row r="48" spans="3:21" ht="46.8" x14ac:dyDescent="0.3">
      <c r="C48" s="590" t="s">
        <v>330</v>
      </c>
      <c r="D48" s="874">
        <f>'Combustão Estacionária'!D400</f>
        <v>0</v>
      </c>
      <c r="E48" s="874">
        <f>'Combustão Estacionária'!D405</f>
        <v>0</v>
      </c>
      <c r="F48" s="874">
        <f>'Combustão Estacionária'!E400</f>
        <v>0</v>
      </c>
      <c r="G48" s="874">
        <f>'Combustão Estacionária'!E405</f>
        <v>0</v>
      </c>
      <c r="H48" s="874">
        <f>'Combustão Estacionária'!F400</f>
        <v>0</v>
      </c>
      <c r="I48" s="874">
        <f>'Combustão Estacionária'!F405</f>
        <v>0</v>
      </c>
      <c r="J48" s="875">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ERRO: Não Indicou na TRIAGEM se este campo é relevante para si</v>
      </c>
      <c r="N48" s="259"/>
      <c r="O48" s="259"/>
      <c r="P48" s="259"/>
      <c r="Q48" s="259"/>
      <c r="R48" s="259"/>
      <c r="S48" s="259"/>
      <c r="T48" s="259"/>
      <c r="U48" s="259"/>
    </row>
    <row r="49" spans="3:21" ht="46.8" x14ac:dyDescent="0.3">
      <c r="C49" s="590" t="s">
        <v>197</v>
      </c>
      <c r="D49" s="874">
        <f>'Combustão Móvel'!E560</f>
        <v>0</v>
      </c>
      <c r="E49" s="874">
        <f>'Combustão Móvel'!E569</f>
        <v>0</v>
      </c>
      <c r="F49" s="874">
        <f>'Combustão Móvel'!F560</f>
        <v>0</v>
      </c>
      <c r="G49" s="874">
        <f>'Combustão Móvel'!F569</f>
        <v>0</v>
      </c>
      <c r="H49" s="874">
        <f>'Combustão Móvel'!G560</f>
        <v>0</v>
      </c>
      <c r="I49" s="874">
        <f>'Combustão Móvel'!G569</f>
        <v>0</v>
      </c>
      <c r="J49" s="875">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ERRO: Não Indicou na TRIAGEM se este campo é relevante para si</v>
      </c>
      <c r="N49" s="259"/>
      <c r="O49" s="259"/>
      <c r="P49" s="259"/>
      <c r="Q49" s="259"/>
      <c r="R49" s="259"/>
      <c r="S49" s="259"/>
      <c r="T49" s="259"/>
      <c r="U49" s="259"/>
    </row>
    <row r="50" spans="3:21" ht="46.8" x14ac:dyDescent="0.3">
      <c r="C50" s="590" t="s">
        <v>196</v>
      </c>
      <c r="D50" s="874">
        <f>'Emissões Fugitivas'!E189</f>
        <v>0</v>
      </c>
      <c r="E50" s="874">
        <f>'Emissões Fugitivas'!E190</f>
        <v>0</v>
      </c>
      <c r="F50" s="874">
        <f>'Emissões Fugitivas'!F189</f>
        <v>0</v>
      </c>
      <c r="G50" s="874">
        <f>'Emissões Fugitivas'!F190</f>
        <v>0</v>
      </c>
      <c r="H50" s="874">
        <f>'Emissões Fugitivas'!G189</f>
        <v>0</v>
      </c>
      <c r="I50" s="874">
        <f>'Emissões Fugitivas'!G190</f>
        <v>0</v>
      </c>
      <c r="J50" s="875">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ERRO: Não Indicou na TRIAGEM se este campo é relevante para si</v>
      </c>
      <c r="N50" s="259"/>
      <c r="O50" s="259"/>
      <c r="P50" s="259"/>
      <c r="Q50" s="259"/>
      <c r="R50" s="259"/>
      <c r="S50" s="259"/>
      <c r="T50" s="259"/>
      <c r="U50" s="259"/>
    </row>
    <row r="51" spans="3:21" ht="46.8"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ERRO: Não Indicou na TRIAGEM se este campo é relevante para si</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t="e">
        <f t="shared" si="3"/>
        <v>#DIV/0!</v>
      </c>
      <c r="L53" s="212" t="str">
        <f>L52</f>
        <v/>
      </c>
      <c r="N53" s="259"/>
      <c r="O53" s="259"/>
      <c r="P53" s="259"/>
      <c r="Q53" s="259"/>
      <c r="R53" s="259"/>
      <c r="S53" s="259"/>
      <c r="T53" s="259"/>
      <c r="U53" s="259"/>
    </row>
    <row r="54" spans="3:21" x14ac:dyDescent="0.3">
      <c r="C54" s="606" t="s">
        <v>1130</v>
      </c>
      <c r="D54" s="876">
        <f>'Outras emissões de processo'!F400</f>
        <v>2843.5284589542098</v>
      </c>
      <c r="E54" s="876">
        <f>'Outras emissões de processo'!F410</f>
        <v>7582.7425572112243</v>
      </c>
      <c r="F54" s="876">
        <f>'Outras emissões de processo'!G400</f>
        <v>-1674.047535326996</v>
      </c>
      <c r="G54" s="876">
        <f>'Outras emissões de processo'!G410</f>
        <v>-66961.901413079846</v>
      </c>
      <c r="H54" s="876">
        <f>'Outras emissões de processo'!H400</f>
        <v>0</v>
      </c>
      <c r="I54" s="876">
        <f>'Outras emissões de processo'!H410</f>
        <v>0</v>
      </c>
      <c r="J54" s="877">
        <f>E54+G54+I54</f>
        <v>-59379.15885586862</v>
      </c>
      <c r="K54" s="353" t="e">
        <f t="shared" si="3"/>
        <v>#DIV/0!</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t="e">
        <f t="shared" si="3"/>
        <v>#DIV/0!</v>
      </c>
      <c r="L55" s="212"/>
      <c r="N55" s="259"/>
      <c r="O55" s="259"/>
      <c r="P55" s="259"/>
      <c r="Q55" s="259"/>
      <c r="R55" s="259"/>
      <c r="S55" s="259"/>
      <c r="T55" s="259"/>
      <c r="U55" s="259"/>
    </row>
    <row r="56" spans="3:21" ht="46.8"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ERRO: Não Indicou na TRIAGEM se este campo é relevante para si</v>
      </c>
      <c r="N56" s="259"/>
      <c r="O56" s="259"/>
      <c r="P56" s="259"/>
      <c r="Q56" s="259"/>
      <c r="R56" s="259"/>
      <c r="S56" s="259"/>
      <c r="T56" s="259"/>
      <c r="U56" s="259"/>
    </row>
    <row r="57" spans="3:21" ht="46.8"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t="e">
        <f t="shared" si="3"/>
        <v>#DIV/0!</v>
      </c>
      <c r="L57" s="637" t="str">
        <f>L49</f>
        <v>ERRO: Não Indicou na TRIAGEM se este campo é relevante para si</v>
      </c>
      <c r="N57" s="259"/>
      <c r="O57" s="259"/>
      <c r="P57" s="259"/>
      <c r="Q57" s="259"/>
      <c r="R57" s="259"/>
      <c r="S57" s="259"/>
      <c r="T57" s="259"/>
      <c r="U57" s="259"/>
    </row>
    <row r="58" spans="3:21" ht="46.8"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t="e">
        <f t="shared" si="3"/>
        <v>#DIV/0!</v>
      </c>
      <c r="L58" s="637" t="str">
        <f>L56</f>
        <v>ERRO: Não Indicou na TRIAGEM se este campo é relevante para si</v>
      </c>
      <c r="N58" s="259"/>
      <c r="O58" s="259"/>
      <c r="P58" s="259"/>
      <c r="Q58" s="259"/>
      <c r="R58" s="259"/>
      <c r="S58" s="259"/>
      <c r="T58" s="259"/>
      <c r="U58" s="259"/>
    </row>
    <row r="59" spans="3:21" x14ac:dyDescent="0.3">
      <c r="C59" s="591" t="s">
        <v>628</v>
      </c>
      <c r="D59" s="878"/>
      <c r="E59" s="878"/>
      <c r="F59" s="878"/>
      <c r="G59" s="878"/>
      <c r="H59" s="878"/>
      <c r="I59" s="878"/>
      <c r="J59" s="879">
        <f>SUM(J60:J67)</f>
        <v>0</v>
      </c>
      <c r="K59" s="353" t="e">
        <f t="shared" si="3"/>
        <v>#DIV/0!</v>
      </c>
      <c r="L59" s="212"/>
      <c r="N59" s="259"/>
      <c r="O59" s="259"/>
      <c r="P59" s="259"/>
      <c r="Q59" s="259"/>
      <c r="R59" s="259"/>
      <c r="S59" s="259"/>
      <c r="T59" s="259"/>
      <c r="U59" s="259"/>
    </row>
    <row r="60" spans="3:21" ht="46.8"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ERRO: Não Indicou na TRIAGEM se este campo é relevante para si</v>
      </c>
      <c r="N60" s="259"/>
      <c r="O60" s="259"/>
      <c r="P60" s="259"/>
      <c r="Q60" s="259"/>
      <c r="R60" s="259"/>
      <c r="S60" s="259"/>
      <c r="T60" s="259"/>
      <c r="U60" s="259"/>
    </row>
    <row r="61" spans="3:21" ht="31.2" x14ac:dyDescent="0.3">
      <c r="C61" s="589" t="s">
        <v>629</v>
      </c>
      <c r="D61" s="874">
        <f>'Combustão Estacionária'!D402</f>
        <v>0</v>
      </c>
      <c r="E61" s="874">
        <f>'Combustão Estacionária'!D407</f>
        <v>0</v>
      </c>
      <c r="F61" s="874">
        <f>'Combustão Estacionária'!E402</f>
        <v>0</v>
      </c>
      <c r="G61" s="874">
        <f>'Combustão Estacionária'!E407</f>
        <v>0</v>
      </c>
      <c r="H61" s="874">
        <f>'Combustão Estacionária'!F402</f>
        <v>0</v>
      </c>
      <c r="I61" s="874">
        <f>'Combustão Estacionária'!F407</f>
        <v>0</v>
      </c>
      <c r="J61" s="875">
        <f t="shared" si="6"/>
        <v>0</v>
      </c>
      <c r="K61" s="353" t="e">
        <f t="shared" si="3"/>
        <v>#DIV/0!</v>
      </c>
      <c r="L61" s="212"/>
      <c r="N61" s="259"/>
      <c r="O61" s="259"/>
      <c r="P61" s="259"/>
      <c r="Q61" s="259"/>
      <c r="R61" s="259"/>
      <c r="S61" s="259"/>
      <c r="T61" s="259"/>
      <c r="U61" s="259"/>
    </row>
    <row r="62" spans="3:21" ht="46.8" x14ac:dyDescent="0.3">
      <c r="C62" s="590" t="s">
        <v>739</v>
      </c>
      <c r="D62" s="874">
        <f>'Combustão Móvel'!E563</f>
        <v>0</v>
      </c>
      <c r="E62" s="874">
        <f>'Combustão Móvel'!E572</f>
        <v>0</v>
      </c>
      <c r="F62" s="874">
        <f>'Combustão Móvel'!F563</f>
        <v>0</v>
      </c>
      <c r="G62" s="874">
        <f>'Combustão Móvel'!F572</f>
        <v>0</v>
      </c>
      <c r="H62" s="874">
        <f>'Combustão Móvel'!G563</f>
        <v>0</v>
      </c>
      <c r="I62" s="874">
        <f>'Combustão Móvel'!G572</f>
        <v>0</v>
      </c>
      <c r="J62" s="875">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t="e">
        <f t="shared" si="3"/>
        <v>#DIV/0!</v>
      </c>
      <c r="L63" s="212" t="str">
        <f>L53</f>
        <v/>
      </c>
      <c r="N63" s="259"/>
      <c r="O63" s="259"/>
      <c r="P63" s="259"/>
      <c r="Q63" s="259"/>
      <c r="R63" s="259"/>
      <c r="S63" s="259"/>
      <c r="T63" s="259"/>
      <c r="U63" s="259"/>
    </row>
    <row r="64" spans="3:21" ht="46.8"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row>
    <row r="65" spans="3:21" x14ac:dyDescent="0.3">
      <c r="C65" s="590" t="s">
        <v>655</v>
      </c>
      <c r="D65" s="874">
        <f>FAPCT!F23</f>
        <v>0</v>
      </c>
      <c r="E65" s="874">
        <f>FAPCT!G23</f>
        <v>0</v>
      </c>
      <c r="F65" s="874">
        <f>FAPCT!F24</f>
        <v>0</v>
      </c>
      <c r="G65" s="874">
        <f>FAPCT!G24</f>
        <v>0</v>
      </c>
      <c r="H65" s="874">
        <f>FAPCT!F25</f>
        <v>0</v>
      </c>
      <c r="I65" s="874">
        <f>FAPCT!G25</f>
        <v>0</v>
      </c>
      <c r="J65" s="875">
        <f>E65+G65+I65</f>
        <v>0</v>
      </c>
      <c r="K65" s="353" t="e">
        <f t="shared" si="3"/>
        <v>#DIV/0!</v>
      </c>
      <c r="L65" s="212"/>
      <c r="N65" s="259"/>
      <c r="O65" s="259"/>
      <c r="P65" s="259"/>
      <c r="Q65" s="259"/>
      <c r="R65" s="259"/>
      <c r="S65" s="259"/>
      <c r="T65" s="259"/>
      <c r="U65" s="259"/>
    </row>
    <row r="66" spans="3:21" ht="46.8"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6" s="259"/>
      <c r="O66" s="259"/>
      <c r="P66" s="259"/>
      <c r="Q66" s="259"/>
      <c r="R66" s="259"/>
      <c r="S66" s="259"/>
      <c r="T66" s="259"/>
      <c r="U66" s="259"/>
    </row>
    <row r="67" spans="3:21" ht="46.8"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ERRO: Não Indicou na TRIAGEM se este campo é relevante para si</v>
      </c>
      <c r="N67" s="259"/>
      <c r="O67" s="259"/>
      <c r="P67" s="259"/>
      <c r="Q67" s="259"/>
      <c r="R67" s="259"/>
      <c r="S67" s="259"/>
      <c r="T67" s="259"/>
      <c r="U67" s="259"/>
    </row>
    <row r="68" spans="3:21" x14ac:dyDescent="0.3">
      <c r="C68" s="592" t="s">
        <v>1537</v>
      </c>
      <c r="D68" s="880">
        <f t="shared" ref="D68:I68" si="7">SUM(E48:E71)</f>
        <v>-120432.36524706424</v>
      </c>
      <c r="E68" s="880">
        <f t="shared" si="7"/>
        <v>-128015.10780427547</v>
      </c>
      <c r="F68" s="880">
        <f t="shared" si="7"/>
        <v>-126341.06026894847</v>
      </c>
      <c r="G68" s="880">
        <f t="shared" si="7"/>
        <v>-59379.15885586862</v>
      </c>
      <c r="H68" s="880">
        <f t="shared" si="7"/>
        <v>-59379.15885586862</v>
      </c>
      <c r="I68" s="880">
        <f t="shared" si="7"/>
        <v>-59379.15885586862</v>
      </c>
      <c r="J68" s="877">
        <f>J47+J55+J59</f>
        <v>0</v>
      </c>
      <c r="K68" s="353" t="e">
        <f t="shared" si="3"/>
        <v>#DIV/0!</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ERRO: Não Indicou na TRIAGEM se este campo é relevante para si</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2029.6666666666667</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2069.666666666667</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2070.666666666667</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092" t="s">
        <v>3</v>
      </c>
      <c r="C28" s="1092" t="s">
        <v>437</v>
      </c>
      <c r="D28" s="1095" t="s">
        <v>30</v>
      </c>
      <c r="E28" s="1295" t="s">
        <v>438</v>
      </c>
      <c r="F28" s="1298"/>
      <c r="G28" s="1295" t="s">
        <v>439</v>
      </c>
      <c r="H28" s="1298"/>
      <c r="I28" s="1092" t="s">
        <v>439</v>
      </c>
      <c r="J28" s="1088" t="s">
        <v>440</v>
      </c>
      <c r="K28" s="1277"/>
      <c r="L28" s="1277"/>
      <c r="M28" s="1277"/>
      <c r="N28" s="1277"/>
      <c r="O28" s="1277"/>
      <c r="P28" s="1277"/>
      <c r="Q28" s="1089"/>
      <c r="R28" s="1092" t="s">
        <v>1090</v>
      </c>
      <c r="S28" s="1295" t="s">
        <v>1475</v>
      </c>
      <c r="X28" s="628"/>
      <c r="Y28" s="628"/>
      <c r="Z28" s="628"/>
    </row>
    <row r="29" spans="1:79" s="657" customFormat="1" ht="18" hidden="1" outlineLevel="1" x14ac:dyDescent="0.3">
      <c r="B29" s="1093"/>
      <c r="C29" s="1093"/>
      <c r="D29" s="1096"/>
      <c r="E29" s="1297"/>
      <c r="F29" s="1299"/>
      <c r="G29" s="1297"/>
      <c r="H29" s="1299"/>
      <c r="I29" s="1094"/>
      <c r="J29" s="1088" t="s">
        <v>1398</v>
      </c>
      <c r="K29" s="1277"/>
      <c r="L29" s="1277"/>
      <c r="M29" s="1089"/>
      <c r="N29" s="1088" t="s">
        <v>1399</v>
      </c>
      <c r="O29" s="1277"/>
      <c r="P29" s="1277"/>
      <c r="Q29" s="1089"/>
      <c r="R29" s="1093"/>
      <c r="S29" s="1296"/>
      <c r="X29" s="628"/>
      <c r="Y29" s="628"/>
      <c r="Z29" s="628"/>
    </row>
    <row r="30" spans="1:79" s="657" customFormat="1" ht="46.8" hidden="1" outlineLevel="1" x14ac:dyDescent="0.3">
      <c r="B30" s="1094"/>
      <c r="C30" s="1094"/>
      <c r="D30" s="1097"/>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094"/>
      <c r="S30" s="1297"/>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24.8"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12.8"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40.4"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88" t="s">
        <v>200</v>
      </c>
      <c r="C83" s="1278" t="s">
        <v>201</v>
      </c>
      <c r="D83" s="1278" t="s">
        <v>202</v>
      </c>
      <c r="E83" s="1281" t="s">
        <v>203</v>
      </c>
      <c r="F83" s="1282"/>
      <c r="G83" s="1282"/>
      <c r="H83" s="1282"/>
      <c r="I83" s="1282"/>
      <c r="J83" s="1283"/>
      <c r="K83" s="1278" t="s">
        <v>1612</v>
      </c>
    </row>
    <row r="84" spans="1:86" ht="15.75" hidden="1" customHeight="1" outlineLevel="1" x14ac:dyDescent="0.3">
      <c r="A84" s="695"/>
      <c r="B84" s="1289"/>
      <c r="C84" s="1280"/>
      <c r="D84" s="1280"/>
      <c r="E84" s="1281" t="s">
        <v>1418</v>
      </c>
      <c r="F84" s="1283"/>
      <c r="G84" s="1281" t="s">
        <v>1419</v>
      </c>
      <c r="H84" s="1283"/>
      <c r="I84" s="1281" t="s">
        <v>1420</v>
      </c>
      <c r="J84" s="1283"/>
      <c r="K84" s="1279"/>
    </row>
    <row r="85" spans="1:86" ht="15.75" hidden="1" customHeight="1" outlineLevel="1" x14ac:dyDescent="0.3">
      <c r="A85" s="698"/>
      <c r="B85" s="1290"/>
      <c r="C85" s="1279"/>
      <c r="D85" s="1279"/>
      <c r="E85" s="699" t="s">
        <v>207</v>
      </c>
      <c r="F85" s="699" t="s">
        <v>208</v>
      </c>
      <c r="G85" s="699" t="s">
        <v>207</v>
      </c>
      <c r="H85" s="699" t="s">
        <v>208</v>
      </c>
      <c r="I85" s="699" t="s">
        <v>207</v>
      </c>
      <c r="J85" s="699" t="s">
        <v>208</v>
      </c>
      <c r="K85" s="699" t="s">
        <v>1611</v>
      </c>
    </row>
    <row r="86" spans="1:86" s="171" customFormat="1" hidden="1" outlineLevel="1" x14ac:dyDescent="0.3">
      <c r="A86" s="700"/>
      <c r="B86" s="1275"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276"/>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75"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284"/>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284"/>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284"/>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idden="1" outlineLevel="1" x14ac:dyDescent="0.3">
      <c r="A92" s="700"/>
      <c r="B92" s="1275"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276"/>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75"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276"/>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88" t="s">
        <v>200</v>
      </c>
      <c r="C102" s="1278" t="s">
        <v>201</v>
      </c>
      <c r="D102" s="1278" t="s">
        <v>202</v>
      </c>
      <c r="E102" s="1281" t="s">
        <v>228</v>
      </c>
      <c r="F102" s="1282"/>
      <c r="G102" s="1282"/>
      <c r="H102" s="1282"/>
      <c r="I102" s="1282"/>
      <c r="J102" s="1283"/>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89"/>
      <c r="C103" s="1280"/>
      <c r="D103" s="1280"/>
      <c r="E103" s="1281" t="s">
        <v>1418</v>
      </c>
      <c r="F103" s="1283"/>
      <c r="G103" s="1281" t="s">
        <v>1419</v>
      </c>
      <c r="H103" s="1283"/>
      <c r="I103" s="1281" t="s">
        <v>1420</v>
      </c>
      <c r="J103" s="1283"/>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0"/>
      <c r="C104" s="1279"/>
      <c r="D104" s="1279"/>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75"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284"/>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276"/>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88" t="s">
        <v>200</v>
      </c>
      <c r="C114" s="1278" t="s">
        <v>201</v>
      </c>
      <c r="D114" s="1278" t="s">
        <v>202</v>
      </c>
      <c r="E114" s="1281" t="s">
        <v>228</v>
      </c>
      <c r="F114" s="1282"/>
      <c r="G114" s="1282"/>
      <c r="H114" s="1282"/>
      <c r="I114" s="1282"/>
      <c r="J114" s="1283"/>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89"/>
      <c r="C115" s="1280"/>
      <c r="D115" s="1280"/>
      <c r="E115" s="1281" t="s">
        <v>1418</v>
      </c>
      <c r="F115" s="1283"/>
      <c r="G115" s="1281" t="s">
        <v>1419</v>
      </c>
      <c r="H115" s="1283"/>
      <c r="I115" s="1281" t="s">
        <v>1420</v>
      </c>
      <c r="J115" s="1283"/>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0"/>
      <c r="C116" s="1279"/>
      <c r="D116" s="1279"/>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75"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284"/>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284"/>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276"/>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88" t="s">
        <v>200</v>
      </c>
      <c r="C127" s="1278" t="s">
        <v>201</v>
      </c>
      <c r="D127" s="1278" t="s">
        <v>202</v>
      </c>
      <c r="E127" s="1281" t="s">
        <v>228</v>
      </c>
      <c r="F127" s="1282"/>
      <c r="G127" s="1282"/>
      <c r="H127" s="1282"/>
      <c r="I127" s="1282"/>
      <c r="J127" s="1283"/>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89"/>
      <c r="C128" s="1280"/>
      <c r="D128" s="1280"/>
      <c r="E128" s="1281" t="s">
        <v>1418</v>
      </c>
      <c r="F128" s="1283"/>
      <c r="G128" s="1281" t="s">
        <v>1419</v>
      </c>
      <c r="H128" s="1283"/>
      <c r="I128" s="1281" t="s">
        <v>1420</v>
      </c>
      <c r="J128" s="1283"/>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0"/>
      <c r="C129" s="1279"/>
      <c r="D129" s="1279"/>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75"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284"/>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276"/>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75"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284"/>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276"/>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88" t="s">
        <v>724</v>
      </c>
      <c r="C142" s="1278" t="s">
        <v>202</v>
      </c>
      <c r="D142" s="1278" t="s">
        <v>42</v>
      </c>
      <c r="E142" s="1278" t="s">
        <v>33</v>
      </c>
      <c r="F142" s="1281" t="s">
        <v>228</v>
      </c>
      <c r="G142" s="1282"/>
      <c r="H142" s="1282"/>
      <c r="I142" s="1282"/>
      <c r="J142" s="1282"/>
      <c r="K142" s="1283"/>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89"/>
      <c r="C143" s="1280"/>
      <c r="D143" s="1280"/>
      <c r="E143" s="1280"/>
      <c r="F143" s="1281" t="s">
        <v>1418</v>
      </c>
      <c r="G143" s="1283"/>
      <c r="H143" s="1281" t="s">
        <v>1419</v>
      </c>
      <c r="I143" s="1283"/>
      <c r="J143" s="1281" t="s">
        <v>1420</v>
      </c>
      <c r="K143" s="1283"/>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0"/>
      <c r="C144" s="1279"/>
      <c r="D144" s="1279"/>
      <c r="E144" s="1279"/>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75"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284"/>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284"/>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284"/>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276"/>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285"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286"/>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286"/>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286"/>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287"/>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285"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286"/>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286"/>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286"/>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287"/>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303" t="s">
        <v>774</v>
      </c>
      <c r="E165" s="1304"/>
      <c r="F165" s="1300" t="s">
        <v>772</v>
      </c>
      <c r="G165" s="1300" t="s">
        <v>771</v>
      </c>
      <c r="H165" s="1300" t="s">
        <v>776</v>
      </c>
      <c r="I165" s="1300"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301"/>
      <c r="G166" s="1301"/>
      <c r="H166" s="1301"/>
      <c r="I166" s="1301"/>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302"/>
      <c r="H167" s="736" t="s">
        <v>729</v>
      </c>
      <c r="I167" s="1302"/>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91" t="s">
        <v>166</v>
      </c>
      <c r="J248" s="778">
        <v>6226</v>
      </c>
      <c r="K248" s="1291"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2"/>
      <c r="J249" s="778">
        <v>10200</v>
      </c>
      <c r="K249" s="1292"/>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2"/>
      <c r="J250" s="778">
        <v>13900</v>
      </c>
      <c r="K250" s="1292"/>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2"/>
      <c r="J251" s="778">
        <v>5820</v>
      </c>
      <c r="K251" s="1292"/>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2"/>
      <c r="J252" s="778">
        <v>8590</v>
      </c>
      <c r="K252" s="1292"/>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3"/>
      <c r="J253" s="778">
        <v>7670</v>
      </c>
      <c r="K253" s="1292"/>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2"/>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2"/>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2"/>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2"/>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2"/>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2"/>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4" t="s">
        <v>176</v>
      </c>
      <c r="J260" s="778">
        <v>148</v>
      </c>
      <c r="K260" s="1292"/>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2"/>
      <c r="J261" s="778">
        <v>1760</v>
      </c>
      <c r="K261" s="1292"/>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2"/>
      <c r="J262" s="778">
        <v>79</v>
      </c>
      <c r="K262" s="1292"/>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2"/>
      <c r="J263" s="778">
        <v>527</v>
      </c>
      <c r="K263" s="1292"/>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2"/>
      <c r="J264" s="778">
        <v>782</v>
      </c>
      <c r="K264" s="1292"/>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2"/>
      <c r="J265" s="778">
        <v>1980</v>
      </c>
      <c r="K265" s="1292"/>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2"/>
      <c r="J266" s="778">
        <v>127</v>
      </c>
      <c r="K266" s="1292"/>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3"/>
      <c r="J267" s="778">
        <v>525</v>
      </c>
      <c r="K267" s="1293"/>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B133:B135"/>
    <mergeCell ref="C127:C129"/>
    <mergeCell ref="D127:D129"/>
    <mergeCell ref="B127:B129"/>
    <mergeCell ref="B102:B104"/>
    <mergeCell ref="D102:D104"/>
    <mergeCell ref="D114:D116"/>
    <mergeCell ref="B130:B132"/>
    <mergeCell ref="B118:B121"/>
    <mergeCell ref="E114:J114"/>
    <mergeCell ref="E115:F115"/>
    <mergeCell ref="G115:H115"/>
    <mergeCell ref="I115:J115"/>
    <mergeCell ref="J29:M29"/>
    <mergeCell ref="E127:J127"/>
    <mergeCell ref="E128:F128"/>
    <mergeCell ref="G128:H128"/>
    <mergeCell ref="F143:G143"/>
    <mergeCell ref="J143:K143"/>
    <mergeCell ref="E142:E144"/>
    <mergeCell ref="I128:J128"/>
    <mergeCell ref="C142:C144"/>
    <mergeCell ref="F142:K142"/>
    <mergeCell ref="B145:B149"/>
    <mergeCell ref="B150:B154"/>
    <mergeCell ref="B155:B159"/>
    <mergeCell ref="B142:B144"/>
    <mergeCell ref="D142:D144"/>
    <mergeCell ref="B94:B95"/>
    <mergeCell ref="B92:B93"/>
    <mergeCell ref="N29:Q29"/>
    <mergeCell ref="J28:Q28"/>
    <mergeCell ref="R28:R30"/>
    <mergeCell ref="I28:I29"/>
    <mergeCell ref="K83:K84"/>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5" t="s">
        <v>275</v>
      </c>
      <c r="C15" s="1306"/>
      <c r="D15" s="1306"/>
      <c r="E15" s="1307"/>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5" t="s">
        <v>288</v>
      </c>
      <c r="C21" s="1306"/>
      <c r="D21" s="1306"/>
      <c r="E21" s="1307"/>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5" t="s">
        <v>7</v>
      </c>
      <c r="C29" s="1306"/>
      <c r="D29" s="1306"/>
      <c r="E29" s="1307"/>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5" t="s">
        <v>318</v>
      </c>
      <c r="C37" s="1307"/>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5" t="s">
        <v>323</v>
      </c>
      <c r="C41" s="1307"/>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3">_xlfn._xlws.FILTER(Triagem!C29:D37,Triagem!C29:C37=FACM!$B$13,"")</f>
        <v>Sim</v>
      </c>
      <c r="B13" s="388" t="str">
        <v>Outras emissões de processo</v>
      </c>
      <c r="C13" s="386"/>
      <c r="D13" s="386"/>
    </row>
    <row r="14" spans="1:4" x14ac:dyDescent="0.35">
      <c r="A14" s="389"/>
      <c r="B14" s="388"/>
      <c r="C14" s="386"/>
      <c r="D14" s="386"/>
    </row>
    <row r="15" spans="1:4" x14ac:dyDescent="0.35">
      <c r="A15" s="389"/>
      <c r="B15" s="388"/>
      <c r="C15" s="386"/>
      <c r="D15" s="386"/>
    </row>
    <row r="16" spans="1:4" x14ac:dyDescent="0.35">
      <c r="A16" s="389"/>
      <c r="B16" s="388"/>
      <c r="C16" s="386"/>
      <c r="D16" s="386"/>
    </row>
    <row r="17" spans="1:4" x14ac:dyDescent="0.35">
      <c r="A17" s="389"/>
      <c r="B17" s="388"/>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13" t="s">
        <v>1607</v>
      </c>
      <c r="D14" s="1313"/>
      <c r="E14" s="1313"/>
      <c r="F14" s="482"/>
      <c r="G14" s="482"/>
    </row>
    <row r="15" spans="2:7" ht="25.95" customHeight="1" thickTop="1" thickBot="1" x14ac:dyDescent="0.35">
      <c r="B15" s="479" t="s">
        <v>1604</v>
      </c>
      <c r="C15" s="1313" t="s">
        <v>1603</v>
      </c>
      <c r="D15" s="1313"/>
      <c r="E15" s="1313"/>
      <c r="F15" s="1313"/>
      <c r="G15" s="1313"/>
    </row>
    <row r="16" spans="2:7" ht="16.8" thickTop="1" thickBot="1" x14ac:dyDescent="0.35">
      <c r="B16" s="479" t="s">
        <v>1554</v>
      </c>
      <c r="C16" s="1313" t="s">
        <v>1436</v>
      </c>
      <c r="D16" s="1313"/>
      <c r="E16" s="1313"/>
      <c r="F16" s="483"/>
      <c r="G16" s="482"/>
    </row>
    <row r="17" spans="2:7" ht="15.6" customHeight="1" thickTop="1" thickBot="1" x14ac:dyDescent="0.35">
      <c r="B17" s="479" t="s">
        <v>1437</v>
      </c>
      <c r="C17" s="1313" t="s">
        <v>1553</v>
      </c>
      <c r="D17" s="1313"/>
      <c r="E17" s="1313"/>
      <c r="F17" s="483"/>
      <c r="G17" s="482"/>
    </row>
    <row r="18" spans="2:7" ht="15.6" customHeight="1" thickTop="1" thickBot="1" x14ac:dyDescent="0.35">
      <c r="B18" s="479" t="s">
        <v>1438</v>
      </c>
      <c r="C18" s="1313" t="s">
        <v>1439</v>
      </c>
      <c r="D18" s="1313"/>
      <c r="E18" s="1313"/>
      <c r="F18" s="483"/>
      <c r="G18" s="482"/>
    </row>
    <row r="19" spans="2:7" ht="35.25" customHeight="1" thickTop="1" x14ac:dyDescent="0.3">
      <c r="B19" s="1312" t="s">
        <v>1606</v>
      </c>
      <c r="C19" s="1312"/>
      <c r="D19" s="1312"/>
      <c r="E19" s="1312"/>
      <c r="F19" s="1312"/>
      <c r="G19" s="1312"/>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08" t="s">
        <v>1443</v>
      </c>
      <c r="E24" s="1308"/>
      <c r="F24" s="1308"/>
    </row>
    <row r="25" spans="2:7" ht="15.6" customHeight="1" x14ac:dyDescent="0.3">
      <c r="B25" s="481" t="s">
        <v>1608</v>
      </c>
      <c r="C25" s="1034">
        <v>45658</v>
      </c>
      <c r="D25" s="1309" t="s">
        <v>1629</v>
      </c>
      <c r="E25" s="1310"/>
      <c r="F25" s="1311"/>
    </row>
    <row r="26" spans="2:7" ht="15.6" customHeight="1" x14ac:dyDescent="0.3">
      <c r="B26" s="481" t="s">
        <v>1444</v>
      </c>
      <c r="C26" s="394"/>
      <c r="D26" s="1309" t="s">
        <v>52</v>
      </c>
      <c r="E26" s="1310"/>
      <c r="F26" s="1311"/>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C14:E14"/>
    <mergeCell ref="C16:E16"/>
    <mergeCell ref="C17:E17"/>
    <mergeCell ref="C18:E18"/>
    <mergeCell ref="D24:F24"/>
    <mergeCell ref="D25:F25"/>
    <mergeCell ref="D26:F26"/>
    <mergeCell ref="B19:G19"/>
    <mergeCell ref="C15:G15"/>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17" zoomScale="70" zoomScaleNormal="70" workbookViewId="0">
      <selection activeCell="C29" sqref="C29"/>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43" t="s">
        <v>538</v>
      </c>
      <c r="C9" s="1043"/>
      <c r="D9" s="1043"/>
      <c r="E9" s="1043"/>
      <c r="F9" s="395"/>
      <c r="G9" s="395"/>
      <c r="H9" s="395"/>
      <c r="I9" s="395"/>
      <c r="J9" s="395"/>
      <c r="K9" s="395"/>
    </row>
    <row r="10" spans="2:11" ht="14.4" customHeight="1" x14ac:dyDescent="0.35">
      <c r="B10" s="1043"/>
      <c r="C10" s="1043"/>
      <c r="D10" s="1043"/>
      <c r="E10" s="1043"/>
      <c r="F10" s="395"/>
      <c r="G10" s="395"/>
      <c r="H10" s="395"/>
      <c r="I10" s="395"/>
      <c r="J10" s="395"/>
      <c r="K10" s="395"/>
    </row>
    <row r="11" spans="2:11" ht="14.4" customHeight="1" x14ac:dyDescent="0.35">
      <c r="B11" s="1043"/>
      <c r="C11" s="1043"/>
      <c r="D11" s="1043"/>
      <c r="E11" s="1043"/>
      <c r="F11" s="395"/>
      <c r="G11" s="395"/>
      <c r="H11" s="395"/>
      <c r="I11" s="395"/>
      <c r="J11" s="395"/>
      <c r="K11" s="395"/>
    </row>
    <row r="12" spans="2:11" ht="14.4" customHeight="1" outlineLevel="1" x14ac:dyDescent="0.35">
      <c r="B12" s="1043"/>
      <c r="C12" s="1043"/>
      <c r="D12" s="1043"/>
      <c r="E12" s="1043"/>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46" t="s">
        <v>1327</v>
      </c>
      <c r="C14" s="1046"/>
      <c r="D14" s="397"/>
      <c r="F14" s="397"/>
      <c r="G14" s="397"/>
      <c r="H14" s="397"/>
      <c r="I14" s="397"/>
      <c r="J14" s="397"/>
      <c r="K14" s="397"/>
    </row>
    <row r="15" spans="2:11" ht="52.95" customHeight="1" outlineLevel="1" x14ac:dyDescent="0.35">
      <c r="B15" s="1046" t="s">
        <v>1328</v>
      </c>
      <c r="C15" s="1046"/>
      <c r="D15" s="397"/>
      <c r="F15" s="397"/>
      <c r="G15" s="397"/>
      <c r="H15" s="397"/>
      <c r="I15" s="397"/>
      <c r="J15" s="397"/>
      <c r="K15" s="397"/>
    </row>
    <row r="16" spans="2:11" ht="57" customHeight="1" outlineLevel="1" x14ac:dyDescent="0.35">
      <c r="B16" s="1046" t="s">
        <v>1329</v>
      </c>
      <c r="C16" s="1046"/>
      <c r="D16" s="397"/>
      <c r="F16" s="397"/>
      <c r="G16" s="397"/>
      <c r="H16" s="397"/>
      <c r="I16" s="397"/>
      <c r="J16" s="397"/>
      <c r="K16" s="397"/>
    </row>
    <row r="17" spans="2:5" ht="26.4" customHeight="1" outlineLevel="1" x14ac:dyDescent="0.35">
      <c r="B17" s="1047" t="s">
        <v>1330</v>
      </c>
      <c r="C17" s="1047"/>
    </row>
    <row r="18" spans="2:5" ht="69" customHeight="1" outlineLevel="1" x14ac:dyDescent="0.35">
      <c r="B18" s="1047" t="s">
        <v>1029</v>
      </c>
      <c r="C18" s="1047"/>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c r="D29" s="407" t="str">
        <f>IF(C29="Sim", "Combustão Estacionária","")</f>
        <v/>
      </c>
      <c r="E29" s="408" t="s">
        <v>1082</v>
      </c>
    </row>
    <row r="30" spans="2:5" ht="90" x14ac:dyDescent="0.35">
      <c r="B30" s="405" t="s">
        <v>1335</v>
      </c>
      <c r="C30" s="406"/>
      <c r="D30" s="408" t="str">
        <f>IF(C30="Sim", "Combustão móvel","")</f>
        <v/>
      </c>
      <c r="E30" s="408" t="s">
        <v>1083</v>
      </c>
    </row>
    <row r="31" spans="2:5" ht="72" x14ac:dyDescent="0.35">
      <c r="B31" s="405" t="s">
        <v>1353</v>
      </c>
      <c r="C31" s="406"/>
      <c r="D31" s="408" t="str">
        <f>IF(C31="Sim", "Emissões fugitivas","")</f>
        <v/>
      </c>
      <c r="E31" s="408" t="s">
        <v>1354</v>
      </c>
    </row>
    <row r="32" spans="2:5" ht="108" x14ac:dyDescent="0.35">
      <c r="B32" s="405" t="s">
        <v>1118</v>
      </c>
      <c r="C32" s="406"/>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44"/>
      <c r="H33" s="1044"/>
      <c r="I33" s="1044"/>
      <c r="J33" s="1044"/>
      <c r="K33" s="1044"/>
      <c r="L33" s="1044"/>
      <c r="M33" s="1044"/>
      <c r="N33" s="1044"/>
      <c r="O33" s="1044"/>
      <c r="P33" s="1044"/>
    </row>
    <row r="34" spans="2:16" ht="88.2" customHeight="1" x14ac:dyDescent="0.35">
      <c r="B34" s="409" t="s">
        <v>1015</v>
      </c>
      <c r="C34" s="406"/>
      <c r="D34" s="408" t="str">
        <f>IF(C34="Sim", "Energia elétrica e térmica","")</f>
        <v/>
      </c>
      <c r="E34" s="408" t="s">
        <v>1574</v>
      </c>
      <c r="G34" s="1045"/>
      <c r="H34" s="1045"/>
      <c r="I34" s="1045"/>
      <c r="J34" s="1045"/>
      <c r="K34" s="1045"/>
      <c r="L34" s="1045"/>
      <c r="M34" s="1045"/>
      <c r="N34" s="1045"/>
      <c r="O34" s="1045"/>
      <c r="P34" s="1045"/>
    </row>
    <row r="35" spans="2:16" ht="72" x14ac:dyDescent="0.35">
      <c r="B35" s="409" t="s">
        <v>1238</v>
      </c>
      <c r="C35" s="406"/>
      <c r="D35" s="408" t="str">
        <f>IF(C35="Sim", "Emissões evitadas","")</f>
        <v/>
      </c>
      <c r="E35" s="408" t="s">
        <v>1561</v>
      </c>
    </row>
    <row r="36" spans="2:16" ht="118.2" customHeight="1" x14ac:dyDescent="0.35">
      <c r="B36" s="409" t="s">
        <v>1334</v>
      </c>
      <c r="C36" s="406"/>
      <c r="D36" s="408" t="str">
        <f>IF(C36="Sim", "Aquisição de bens e serviços","")</f>
        <v/>
      </c>
      <c r="E36" s="408" t="s">
        <v>1337</v>
      </c>
    </row>
    <row r="37" spans="2:16" ht="90" x14ac:dyDescent="0.35">
      <c r="B37" s="409" t="s">
        <v>1316</v>
      </c>
      <c r="C37" s="406"/>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B24" zoomScaleNormal="100" workbookViewId="0">
      <selection activeCell="F33" sqref="F3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50" t="str">
        <f>IF(Triagem!C28="", "", IF(Triagem!C28="Não", "Não necessita de preencher esta folha", "Folha a ser preenchida"))</f>
        <v>Folha a ser preenchida</v>
      </c>
      <c r="F6" s="1050"/>
      <c r="G6" s="1050"/>
      <c r="H6" s="1050"/>
      <c r="I6" s="1050"/>
      <c r="J6" s="1050"/>
      <c r="K6" s="1050"/>
      <c r="L6" s="1050"/>
      <c r="M6" s="1050"/>
      <c r="N6" s="1050"/>
      <c r="O6" s="1050"/>
    </row>
    <row r="7" spans="2:20" x14ac:dyDescent="0.3">
      <c r="E7" s="1050"/>
      <c r="F7" s="1050"/>
      <c r="G7" s="1050"/>
      <c r="H7" s="1050"/>
      <c r="I7" s="1050"/>
      <c r="J7" s="1050"/>
      <c r="K7" s="1050"/>
      <c r="L7" s="1050"/>
      <c r="M7" s="1050"/>
      <c r="N7" s="1050"/>
      <c r="O7" s="1050"/>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49" t="s">
        <v>1331</v>
      </c>
      <c r="C14" s="1049"/>
      <c r="D14" s="1049"/>
      <c r="E14" s="1049"/>
      <c r="F14" s="1049"/>
      <c r="G14" s="1049"/>
      <c r="H14" s="1049"/>
      <c r="I14" s="1049"/>
      <c r="J14" s="1049"/>
      <c r="K14" s="1049"/>
      <c r="L14" s="1049"/>
      <c r="M14" s="1049"/>
      <c r="N14" s="1049"/>
      <c r="O14" s="1049"/>
      <c r="P14" s="1049"/>
      <c r="Q14" s="1049"/>
      <c r="R14" s="1049"/>
      <c r="S14" s="1049"/>
      <c r="T14" s="1049"/>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51" t="s">
        <v>1630</v>
      </c>
      <c r="F21" s="1052"/>
      <c r="G21" s="1052"/>
      <c r="H21" s="1052"/>
      <c r="I21" s="1052"/>
      <c r="J21" s="1052"/>
      <c r="K21" s="1052"/>
      <c r="L21" s="1052"/>
      <c r="M21" s="1052"/>
      <c r="N21" s="1052"/>
      <c r="O21" s="1052"/>
      <c r="P21" s="1053"/>
    </row>
    <row r="22" spans="2:20" ht="16.2" thickBot="1" x14ac:dyDescent="0.35">
      <c r="D22" s="303" t="s">
        <v>2</v>
      </c>
      <c r="E22" s="1051" t="s">
        <v>1631</v>
      </c>
      <c r="F22" s="1052"/>
      <c r="G22" s="1052"/>
      <c r="H22" s="1052"/>
      <c r="I22" s="1052"/>
      <c r="J22" s="1052"/>
      <c r="K22" s="1052"/>
      <c r="L22" s="1052"/>
      <c r="M22" s="1052"/>
      <c r="N22" s="1052"/>
      <c r="O22" s="1052"/>
      <c r="P22" s="1053"/>
    </row>
    <row r="23" spans="2:20" ht="16.2" thickBot="1" x14ac:dyDescent="0.35">
      <c r="D23" s="303" t="s">
        <v>1333</v>
      </c>
      <c r="E23" s="1314">
        <v>45919</v>
      </c>
      <c r="F23" s="1052"/>
      <c r="G23" s="1052"/>
      <c r="H23" s="1052"/>
      <c r="I23" s="1052"/>
      <c r="J23" s="1052"/>
      <c r="K23" s="1052"/>
      <c r="L23" s="1052"/>
      <c r="M23" s="1052"/>
      <c r="N23" s="1052"/>
      <c r="O23" s="1052"/>
      <c r="P23" s="1053"/>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48" t="s">
        <v>1614</v>
      </c>
      <c r="E29" s="1048"/>
      <c r="F29" s="1048"/>
      <c r="G29" s="1048"/>
      <c r="H29" s="1048"/>
      <c r="I29" s="1048"/>
      <c r="J29" s="1048"/>
      <c r="K29" s="1048"/>
      <c r="L29" s="1048"/>
      <c r="M29" s="1048"/>
      <c r="N29" s="1048"/>
      <c r="O29" s="1048"/>
      <c r="P29" s="1048"/>
      <c r="Q29" s="1048"/>
      <c r="R29" s="1048"/>
      <c r="S29" s="1048"/>
      <c r="T29" s="1048"/>
    </row>
    <row r="30" spans="2:20" ht="66" customHeight="1" x14ac:dyDescent="0.3">
      <c r="B30" s="418"/>
      <c r="C30" s="176"/>
      <c r="D30" s="1048" t="s">
        <v>1560</v>
      </c>
      <c r="E30" s="1048"/>
      <c r="F30" s="1048"/>
      <c r="G30" s="1048"/>
      <c r="H30" s="1048"/>
      <c r="I30" s="1048"/>
      <c r="J30" s="1048"/>
      <c r="K30" s="1048"/>
      <c r="L30" s="1048"/>
      <c r="M30" s="1048"/>
      <c r="N30" s="1048"/>
      <c r="O30" s="1048"/>
      <c r="P30" s="1048"/>
      <c r="Q30" s="1048"/>
      <c r="R30" s="1048"/>
      <c r="S30" s="1048"/>
      <c r="T30" s="1048"/>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2027</v>
      </c>
      <c r="F33" s="819">
        <v>2.6666666666666665</v>
      </c>
      <c r="G33" s="963"/>
      <c r="P33" s="364"/>
    </row>
    <row r="34" spans="4:16" x14ac:dyDescent="0.3">
      <c r="D34" s="283" t="s">
        <v>37</v>
      </c>
      <c r="E34" s="819">
        <f>+E33+F33</f>
        <v>2029.6666666666667</v>
      </c>
      <c r="F34" s="819">
        <v>40</v>
      </c>
      <c r="G34" s="963"/>
      <c r="P34" s="364"/>
    </row>
    <row r="35" spans="4:16" x14ac:dyDescent="0.3">
      <c r="D35" s="208" t="s">
        <v>264</v>
      </c>
      <c r="E35" s="819"/>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34" zoomScale="55" zoomScaleNormal="55" workbookViewId="0">
      <selection activeCell="G52" sqref="G52"/>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87" t="str">
        <f>IF(Triagem!C29="", "Não indicou na TRIAGEM se esta folha se adequa ao projeto", IF(Triagem!C29="Não", "Não necessita de preencher esta folha", "Folha a ser preenchida"))</f>
        <v>Não indicou na TRIAGEM se esta folha se adequa ao projeto</v>
      </c>
      <c r="D8" s="1087"/>
      <c r="E8" s="1087"/>
      <c r="F8" s="1087"/>
      <c r="G8" s="1087"/>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63" t="s">
        <v>1616</v>
      </c>
      <c r="C26" s="1063"/>
      <c r="D26" s="1063"/>
      <c r="E26" s="1063"/>
      <c r="F26" s="1063"/>
      <c r="G26" s="1063"/>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72" t="s">
        <v>670</v>
      </c>
      <c r="D29" s="1073"/>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72" t="s">
        <v>671</v>
      </c>
      <c r="D30" s="1073"/>
      <c r="E30" s="1064" t="s">
        <v>1085</v>
      </c>
      <c r="F30" s="1065"/>
      <c r="G30" s="1066"/>
      <c r="H30" s="605"/>
      <c r="I30" s="605"/>
      <c r="J30" s="605"/>
      <c r="K30" s="424"/>
      <c r="L30" s="424"/>
      <c r="M30" s="424"/>
      <c r="N30" s="424"/>
      <c r="O30" s="424"/>
      <c r="P30" s="424"/>
      <c r="Q30" s="424"/>
      <c r="R30" s="424"/>
      <c r="S30" s="424"/>
    </row>
    <row r="31" spans="2:19" ht="40.950000000000003" customHeight="1" x14ac:dyDescent="0.3">
      <c r="B31" s="938" t="s">
        <v>524</v>
      </c>
      <c r="C31" s="1072" t="s">
        <v>672</v>
      </c>
      <c r="D31" s="1073"/>
      <c r="E31" s="1064" t="s">
        <v>1086</v>
      </c>
      <c r="F31" s="1065"/>
      <c r="G31" s="1066"/>
      <c r="H31" s="605"/>
      <c r="I31" s="605"/>
      <c r="J31" s="605"/>
      <c r="K31" s="423"/>
      <c r="L31" s="423"/>
      <c r="M31" s="423"/>
      <c r="N31" s="423"/>
      <c r="O31" s="423"/>
      <c r="P31" s="423"/>
      <c r="Q31" s="423"/>
      <c r="R31" s="423"/>
      <c r="S31" s="423"/>
    </row>
    <row r="32" spans="2:19" ht="43.95" customHeight="1" x14ac:dyDescent="0.3">
      <c r="B32" s="938" t="s">
        <v>525</v>
      </c>
      <c r="C32" s="1072" t="s">
        <v>673</v>
      </c>
      <c r="D32" s="1073"/>
      <c r="E32" s="1064" t="s">
        <v>1063</v>
      </c>
      <c r="F32" s="1065"/>
      <c r="G32" s="1066"/>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88" t="s">
        <v>1615</v>
      </c>
      <c r="C37" s="1089"/>
      <c r="D37" s="1074"/>
      <c r="E37" s="1075"/>
      <c r="F37" s="1075"/>
      <c r="G37" s="1076"/>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70" t="s">
        <v>659</v>
      </c>
      <c r="C54" s="1070" t="s">
        <v>29</v>
      </c>
      <c r="D54" s="1084" t="s">
        <v>544</v>
      </c>
      <c r="E54" s="1070"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71"/>
      <c r="C55" s="1071"/>
      <c r="D55" s="1085"/>
      <c r="E55" s="1071"/>
      <c r="F55" s="186" t="s">
        <v>1538</v>
      </c>
      <c r="G55" s="186" t="s">
        <v>1538</v>
      </c>
      <c r="H55" s="186" t="s">
        <v>1454</v>
      </c>
      <c r="I55" s="186" t="s">
        <v>1454</v>
      </c>
      <c r="J55" s="186" t="s">
        <v>1110</v>
      </c>
      <c r="L55" s="172"/>
      <c r="M55" s="172" t="s">
        <v>1062</v>
      </c>
      <c r="N55" s="172"/>
      <c r="O55" s="1077"/>
      <c r="P55" s="1078"/>
      <c r="Q55" s="1079"/>
      <c r="R55" s="172"/>
      <c r="S55" s="172"/>
      <c r="T55" s="172"/>
      <c r="U55" s="172"/>
    </row>
    <row r="56" spans="1:21" ht="0.6" customHeight="1" outlineLevel="1" x14ac:dyDescent="0.3">
      <c r="B56" s="1083"/>
      <c r="C56" s="1083"/>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54" t="str">
        <f>IF(O55="","",VLOOKUP(O55,FACE!$C$10:$D$40,2,FALSE))</f>
        <v/>
      </c>
      <c r="N57" s="1055"/>
      <c r="O57" s="1055"/>
      <c r="P57" s="1055"/>
      <c r="Q57" s="1055"/>
      <c r="R57" s="1055"/>
      <c r="S57" s="1055"/>
      <c r="T57" s="1056"/>
      <c r="U57" s="172"/>
    </row>
    <row r="58" spans="1:21" outlineLevel="1" x14ac:dyDescent="0.3">
      <c r="A58" s="192"/>
      <c r="B58" s="193"/>
      <c r="C58" s="454"/>
      <c r="D58" s="490"/>
      <c r="E58" s="492" t="str">
        <f>IF(C58="","",VLOOKUP(C58,FACE!$B$47:$D$92,3,FALSE))</f>
        <v/>
      </c>
      <c r="F58" s="976" t="str">
        <f>IFERROR(VLOOKUP(C58,FACE!$B$47:$H$82,5,FALSE)+VLOOKUP(C58,FACE!$B$47:$H$82,6,FALSE)*'Fatores de Emissão'!E248+VLOOKUP(C58,FACE!$B$47:$H$82,7,FALSE)*'Fatores de Emissão'!E249,"")</f>
        <v/>
      </c>
      <c r="G58" s="975" t="str">
        <f>IFERROR(VLOOKUP(C58,FACE!$B$84:$H$92,5,FALSE)+VLOOKUP(C58,FACE!$B$84:$H$92,6,FALSE)*'Fatores de Emissão'!F248+VLOOKUP(C58,FACE!$B$84:$H$92,7,FALSE)*'Fatores de Emissão'!F249,"")</f>
        <v/>
      </c>
      <c r="H58" s="820" t="str">
        <f>IFERROR(F58*D58,"")</f>
        <v/>
      </c>
      <c r="I58" s="820" t="str">
        <f>IFERROR(G58*D58,"")</f>
        <v/>
      </c>
      <c r="J58" s="975" t="str">
        <f>IF(D58="","",SUMIF('Fatores de Emissão'!$B$31:$B$75, $C58, 'Fatores de Emissão'!$R$31:$R$75)*D58)</f>
        <v/>
      </c>
      <c r="L58" s="172"/>
      <c r="M58" s="1057"/>
      <c r="N58" s="1058"/>
      <c r="O58" s="1058"/>
      <c r="P58" s="1058"/>
      <c r="Q58" s="1058"/>
      <c r="R58" s="1058"/>
      <c r="S58" s="1058"/>
      <c r="T58" s="1059"/>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57"/>
      <c r="N59" s="1058"/>
      <c r="O59" s="1058"/>
      <c r="P59" s="1058"/>
      <c r="Q59" s="1058"/>
      <c r="R59" s="1058"/>
      <c r="S59" s="1058"/>
      <c r="T59" s="1059"/>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57"/>
      <c r="N60" s="1058"/>
      <c r="O60" s="1058"/>
      <c r="P60" s="1058"/>
      <c r="Q60" s="1058"/>
      <c r="R60" s="1058"/>
      <c r="S60" s="1058"/>
      <c r="T60" s="1059"/>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57"/>
      <c r="N61" s="1058"/>
      <c r="O61" s="1058"/>
      <c r="P61" s="1058"/>
      <c r="Q61" s="1058"/>
      <c r="R61" s="1058"/>
      <c r="S61" s="1058"/>
      <c r="T61" s="1059"/>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57"/>
      <c r="N62" s="1058"/>
      <c r="O62" s="1058"/>
      <c r="P62" s="1058"/>
      <c r="Q62" s="1058"/>
      <c r="R62" s="1058"/>
      <c r="S62" s="1058"/>
      <c r="T62" s="1059"/>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60"/>
      <c r="N63" s="1061"/>
      <c r="O63" s="1061"/>
      <c r="P63" s="1061"/>
      <c r="Q63" s="1061"/>
      <c r="R63" s="1061"/>
      <c r="S63" s="1061"/>
      <c r="T63" s="1062"/>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67" t="s">
        <v>1111</v>
      </c>
      <c r="C158" s="1068"/>
      <c r="D158" s="1069"/>
      <c r="E158" s="977">
        <f>SUM(H58:H155)/1000</f>
        <v>0</v>
      </c>
      <c r="K158" s="197"/>
    </row>
    <row r="159" spans="1:11" ht="19.95" customHeight="1" outlineLevel="1" x14ac:dyDescent="0.3">
      <c r="B159" s="1067" t="s">
        <v>1112</v>
      </c>
      <c r="C159" s="1068"/>
      <c r="D159" s="1069"/>
      <c r="E159" s="977">
        <f>SUM(I58:I155)/1000</f>
        <v>0</v>
      </c>
      <c r="K159" s="197"/>
    </row>
    <row r="160" spans="1:11" ht="19.95" customHeight="1" outlineLevel="1" x14ac:dyDescent="0.3">
      <c r="B160" s="1067" t="s">
        <v>1113</v>
      </c>
      <c r="C160" s="1068"/>
      <c r="D160" s="1069"/>
      <c r="E160" s="977">
        <f>SUM(J58:J155)/1000</f>
        <v>0</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70" t="s">
        <v>659</v>
      </c>
      <c r="C166" s="1070" t="s">
        <v>29</v>
      </c>
      <c r="D166" s="1084" t="s">
        <v>545</v>
      </c>
      <c r="E166" s="1070" t="s">
        <v>30</v>
      </c>
      <c r="F166" s="1070" t="str">
        <f>F54</f>
        <v>Fator de emissão de GEE fóssil da combustão</v>
      </c>
      <c r="G166" s="1070" t="str">
        <f>G54</f>
        <v>Fator de emissão de GEE biogénico da combustão</v>
      </c>
      <c r="H166" s="1070" t="str">
        <f>H54</f>
        <v>Emissões de GEE fósseis anuais</v>
      </c>
      <c r="I166" s="1070" t="str">
        <f>I54</f>
        <v>Emissões de GEE biogénicas anuais</v>
      </c>
      <c r="J166" s="1070" t="s">
        <v>680</v>
      </c>
      <c r="L166" s="172"/>
      <c r="M166" s="185" t="s">
        <v>632</v>
      </c>
      <c r="N166" s="172"/>
      <c r="O166" s="173"/>
      <c r="P166" s="172"/>
      <c r="Q166" s="172"/>
      <c r="R166" s="172"/>
      <c r="S166" s="172"/>
      <c r="T166" s="172"/>
      <c r="U166" s="172"/>
    </row>
    <row r="167" spans="1:21" ht="18" customHeight="1" outlineLevel="1" x14ac:dyDescent="0.3">
      <c r="B167" s="1071"/>
      <c r="C167" s="1071"/>
      <c r="D167" s="1085"/>
      <c r="E167" s="1071"/>
      <c r="F167" s="1071"/>
      <c r="G167" s="1071"/>
      <c r="H167" s="1071"/>
      <c r="I167" s="1071"/>
      <c r="J167" s="1071"/>
      <c r="L167" s="172"/>
      <c r="M167" s="172" t="s">
        <v>1062</v>
      </c>
      <c r="N167" s="172"/>
      <c r="O167" s="1077"/>
      <c r="P167" s="1078"/>
      <c r="Q167" s="1079"/>
      <c r="R167" s="172"/>
      <c r="S167" s="172"/>
      <c r="T167" s="172"/>
      <c r="U167" s="172"/>
    </row>
    <row r="168" spans="1:21" ht="18" customHeight="1" outlineLevel="1" x14ac:dyDescent="0.3">
      <c r="B168" s="1083"/>
      <c r="C168" s="1083"/>
      <c r="D168" s="1086"/>
      <c r="E168" s="1083"/>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54" t="str">
        <f>IF(O167="","",VLOOKUP(O167,FACE!$C$10:$D$40,2,FALSE))</f>
        <v/>
      </c>
      <c r="N169" s="1055"/>
      <c r="O169" s="1055"/>
      <c r="P169" s="1055"/>
      <c r="Q169" s="1055"/>
      <c r="R169" s="1055"/>
      <c r="S169" s="1055"/>
      <c r="T169" s="1056"/>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57"/>
      <c r="N170" s="1058"/>
      <c r="O170" s="1058"/>
      <c r="P170" s="1058"/>
      <c r="Q170" s="1058"/>
      <c r="R170" s="1058"/>
      <c r="S170" s="1058"/>
      <c r="T170" s="1059"/>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57"/>
      <c r="N171" s="1058"/>
      <c r="O171" s="1058"/>
      <c r="P171" s="1058"/>
      <c r="Q171" s="1058"/>
      <c r="R171" s="1058"/>
      <c r="S171" s="1058"/>
      <c r="T171" s="1059"/>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57"/>
      <c r="N172" s="1058"/>
      <c r="O172" s="1058"/>
      <c r="P172" s="1058"/>
      <c r="Q172" s="1058"/>
      <c r="R172" s="1058"/>
      <c r="S172" s="1058"/>
      <c r="T172" s="1059"/>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57"/>
      <c r="N173" s="1058"/>
      <c r="O173" s="1058"/>
      <c r="P173" s="1058"/>
      <c r="Q173" s="1058"/>
      <c r="R173" s="1058"/>
      <c r="S173" s="1058"/>
      <c r="T173" s="1059"/>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57"/>
      <c r="N174" s="1058"/>
      <c r="O174" s="1058"/>
      <c r="P174" s="1058"/>
      <c r="Q174" s="1058"/>
      <c r="R174" s="1058"/>
      <c r="S174" s="1058"/>
      <c r="T174" s="1059"/>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60"/>
      <c r="N175" s="1061"/>
      <c r="O175" s="1061"/>
      <c r="P175" s="1061"/>
      <c r="Q175" s="1061"/>
      <c r="R175" s="1061"/>
      <c r="S175" s="1061"/>
      <c r="T175" s="1062"/>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67" t="s">
        <v>1111</v>
      </c>
      <c r="C275" s="1068"/>
      <c r="D275" s="1069"/>
      <c r="E275" s="978">
        <f>SUM(H170:H269)/1000</f>
        <v>0</v>
      </c>
      <c r="K275" s="197"/>
    </row>
    <row r="276" spans="1:21" ht="19.95" customHeight="1" outlineLevel="1" x14ac:dyDescent="0.3">
      <c r="B276" s="1067" t="s">
        <v>1112</v>
      </c>
      <c r="C276" s="1068"/>
      <c r="D276" s="1069"/>
      <c r="E276" s="978">
        <f>SUM(I170:I269)/1000</f>
        <v>0</v>
      </c>
      <c r="K276" s="197"/>
    </row>
    <row r="277" spans="1:21" ht="19.95" customHeight="1" outlineLevel="1" x14ac:dyDescent="0.3">
      <c r="B277" s="1067" t="s">
        <v>1113</v>
      </c>
      <c r="C277" s="1068"/>
      <c r="D277" s="1069"/>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70" t="s">
        <v>659</v>
      </c>
      <c r="C283" s="1070" t="s">
        <v>29</v>
      </c>
      <c r="D283" s="1084" t="s">
        <v>545</v>
      </c>
      <c r="E283" s="1070" t="s">
        <v>30</v>
      </c>
      <c r="F283" s="1070" t="str">
        <f>F166</f>
        <v>Fator de emissão de GEE fóssil da combustão</v>
      </c>
      <c r="G283" s="1070" t="str">
        <f>G166</f>
        <v>Fator de emissão de GEE biogénico da combustão</v>
      </c>
      <c r="H283" s="1070" t="str">
        <f>H166</f>
        <v>Emissões de GEE fósseis anuais</v>
      </c>
      <c r="I283" s="1070" t="str">
        <f>I166</f>
        <v>Emissões de GEE biogénicas anuais</v>
      </c>
      <c r="J283" s="1070" t="s">
        <v>680</v>
      </c>
      <c r="L283" s="172"/>
      <c r="M283" s="185" t="s">
        <v>632</v>
      </c>
      <c r="N283" s="172"/>
      <c r="O283" s="173"/>
      <c r="P283" s="172"/>
      <c r="Q283" s="172"/>
      <c r="R283" s="172"/>
      <c r="S283" s="172"/>
      <c r="T283" s="172"/>
      <c r="U283" s="172"/>
    </row>
    <row r="284" spans="1:21" ht="18" customHeight="1" outlineLevel="1" x14ac:dyDescent="0.3">
      <c r="B284" s="1071"/>
      <c r="C284" s="1071"/>
      <c r="D284" s="1085"/>
      <c r="E284" s="1071"/>
      <c r="F284" s="1071"/>
      <c r="G284" s="1071"/>
      <c r="H284" s="1071"/>
      <c r="I284" s="1071"/>
      <c r="J284" s="1071"/>
      <c r="L284" s="172"/>
      <c r="M284" s="172" t="s">
        <v>1062</v>
      </c>
      <c r="N284" s="172"/>
      <c r="O284" s="1077"/>
      <c r="P284" s="1078"/>
      <c r="Q284" s="1079"/>
      <c r="R284" s="172"/>
      <c r="S284" s="172"/>
      <c r="T284" s="172"/>
      <c r="U284" s="172"/>
    </row>
    <row r="285" spans="1:21" ht="18" customHeight="1" outlineLevel="1" x14ac:dyDescent="0.3">
      <c r="B285" s="1083"/>
      <c r="C285" s="1083"/>
      <c r="D285" s="1086"/>
      <c r="E285" s="1083"/>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54" t="str">
        <f>IF(O284="","",VLOOKUP(O284,FACE!$C$10:$D$40,2,FALSE))</f>
        <v/>
      </c>
      <c r="N286" s="1055"/>
      <c r="O286" s="1055"/>
      <c r="P286" s="1055"/>
      <c r="Q286" s="1055"/>
      <c r="R286" s="1055"/>
      <c r="S286" s="1055"/>
      <c r="T286" s="1056"/>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57"/>
      <c r="N287" s="1058"/>
      <c r="O287" s="1058"/>
      <c r="P287" s="1058"/>
      <c r="Q287" s="1058"/>
      <c r="R287" s="1058"/>
      <c r="S287" s="1058"/>
      <c r="T287" s="1059"/>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57"/>
      <c r="N288" s="1058"/>
      <c r="O288" s="1058"/>
      <c r="P288" s="1058"/>
      <c r="Q288" s="1058"/>
      <c r="R288" s="1058"/>
      <c r="S288" s="1058"/>
      <c r="T288" s="1059"/>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57"/>
      <c r="N289" s="1058"/>
      <c r="O289" s="1058"/>
      <c r="P289" s="1058"/>
      <c r="Q289" s="1058"/>
      <c r="R289" s="1058"/>
      <c r="S289" s="1058"/>
      <c r="T289" s="1059"/>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57"/>
      <c r="N290" s="1058"/>
      <c r="O290" s="1058"/>
      <c r="P290" s="1058"/>
      <c r="Q290" s="1058"/>
      <c r="R290" s="1058"/>
      <c r="S290" s="1058"/>
      <c r="T290" s="1059"/>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57"/>
      <c r="N291" s="1058"/>
      <c r="O291" s="1058"/>
      <c r="P291" s="1058"/>
      <c r="Q291" s="1058"/>
      <c r="R291" s="1058"/>
      <c r="S291" s="1058"/>
      <c r="T291" s="1059"/>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60"/>
      <c r="N292" s="1061"/>
      <c r="O292" s="1061"/>
      <c r="P292" s="1061"/>
      <c r="Q292" s="1061"/>
      <c r="R292" s="1061"/>
      <c r="S292" s="1061"/>
      <c r="T292" s="1062"/>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67" t="s">
        <v>1111</v>
      </c>
      <c r="C390" s="1068"/>
      <c r="D390" s="1069"/>
      <c r="E390" s="978">
        <f>SUM(H287:H386)/1000</f>
        <v>0</v>
      </c>
      <c r="K390" s="197"/>
    </row>
    <row r="391" spans="1:12" ht="19.95" customHeight="1" outlineLevel="1" x14ac:dyDescent="0.3">
      <c r="B391" s="1067" t="s">
        <v>1112</v>
      </c>
      <c r="C391" s="1068"/>
      <c r="D391" s="1069"/>
      <c r="E391" s="978">
        <f>SUM(I287:I386)/1000</f>
        <v>0</v>
      </c>
      <c r="K391" s="197"/>
    </row>
    <row r="392" spans="1:12" ht="19.95" customHeight="1" outlineLevel="1" x14ac:dyDescent="0.3">
      <c r="B392" s="1067" t="s">
        <v>1113</v>
      </c>
      <c r="C392" s="1068"/>
      <c r="D392" s="1069"/>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0" t="s">
        <v>1116</v>
      </c>
      <c r="E398" s="1080"/>
      <c r="F398" s="1080"/>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0</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0</v>
      </c>
      <c r="E402" s="820">
        <f>E277</f>
        <v>0</v>
      </c>
      <c r="F402" s="820">
        <f>E392</f>
        <v>0</v>
      </c>
    </row>
    <row r="403" spans="2:10" ht="19.95" customHeight="1" x14ac:dyDescent="0.3">
      <c r="B403" s="210"/>
      <c r="C403" s="210"/>
      <c r="D403" s="211"/>
      <c r="E403" s="211"/>
      <c r="F403" s="211"/>
    </row>
    <row r="404" spans="2:10" ht="19.95" customHeight="1" x14ac:dyDescent="0.3">
      <c r="D404" s="1081" t="s">
        <v>1563</v>
      </c>
      <c r="E404" s="1081"/>
      <c r="F404" s="1082"/>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0</v>
      </c>
      <c r="E405" s="820">
        <f>IF('Dados gerais'!$F$34="", 'Fatores de Emissão'!$E$13*E400, 'Dados gerais'!$F$34*E400)</f>
        <v>0</v>
      </c>
      <c r="F405" s="820">
        <f>IF('Dados gerais'!$F$35="", 'Fatores de Emissão'!$E$14*F400, 'Dados gerais'!$F$35*F400)</f>
        <v>0</v>
      </c>
      <c r="G405" s="821">
        <f>SUM(D405:F405)</f>
        <v>0</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0</v>
      </c>
      <c r="E407" s="820">
        <f>IF('Dados gerais'!$F$34="", 'Fatores de Emissão'!$E$13*E402, 'Dados gerais'!$F$34*E402)</f>
        <v>0</v>
      </c>
      <c r="F407" s="820">
        <f>IF('Dados gerais'!$F$35="", 'Fatores de Emissão'!$E$14*F402, 'Dados gerais'!$F$35*F402)</f>
        <v>0</v>
      </c>
      <c r="G407" s="821">
        <f t="shared" ref="G407" si="12">SUM(D407:F407)</f>
        <v>0</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O55:Q55"/>
    <mergeCell ref="B54:B56"/>
    <mergeCell ref="C54:C56"/>
    <mergeCell ref="B37:C37"/>
    <mergeCell ref="B158:D158"/>
    <mergeCell ref="I166:I167"/>
    <mergeCell ref="M169:T175"/>
    <mergeCell ref="M57:T63"/>
    <mergeCell ref="B166:B168"/>
    <mergeCell ref="B159:D159"/>
    <mergeCell ref="O167:Q167"/>
    <mergeCell ref="B160:D160"/>
    <mergeCell ref="C8:G8"/>
    <mergeCell ref="C166:C168"/>
    <mergeCell ref="D166:D168"/>
    <mergeCell ref="E166:E168"/>
    <mergeCell ref="D54:D55"/>
    <mergeCell ref="E54:E55"/>
    <mergeCell ref="G166:G167"/>
    <mergeCell ref="C29:D29"/>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0"/>
      <c r="M10" s="1090"/>
      <c r="N10" s="506"/>
      <c r="O10" s="506"/>
      <c r="P10" s="506"/>
      <c r="Q10" s="1091"/>
      <c r="R10" s="1091"/>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0"/>
      <c r="M11" s="1090"/>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93.6"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40.4"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092" t="s">
        <v>42</v>
      </c>
      <c r="C99" s="1092" t="s">
        <v>479</v>
      </c>
      <c r="D99" s="1095"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093"/>
      <c r="C100" s="1093"/>
      <c r="D100" s="1096"/>
      <c r="F100" s="517">
        <f>'Combustão Estacionária'!D37</f>
        <v>0</v>
      </c>
      <c r="G100" s="518"/>
      <c r="H100" s="519"/>
      <c r="I100" s="484"/>
      <c r="J100" s="484"/>
      <c r="K100" s="484"/>
      <c r="L100" s="484"/>
      <c r="M100" s="484"/>
      <c r="N100" s="484"/>
    </row>
    <row r="101" spans="1:14" s="314" customFormat="1" ht="16.95" customHeight="1" outlineLevel="1" x14ac:dyDescent="0.3">
      <c r="B101" s="1094"/>
      <c r="C101" s="1094"/>
      <c r="D101" s="1097"/>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092" t="s">
        <v>42</v>
      </c>
      <c r="C154" s="1092" t="s">
        <v>479</v>
      </c>
      <c r="D154" s="1095"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093"/>
      <c r="C155" s="1093"/>
      <c r="D155" s="1096"/>
      <c r="F155" s="517">
        <f>'Combustão Estacionária'!D37</f>
        <v>0</v>
      </c>
      <c r="G155" s="518"/>
      <c r="H155" s="519"/>
      <c r="I155" s="484"/>
      <c r="J155" s="484"/>
      <c r="K155" s="484"/>
      <c r="L155" s="484"/>
      <c r="M155" s="484"/>
      <c r="N155" s="484"/>
    </row>
    <row r="156" spans="1:14" s="314" customFormat="1" ht="16.95" customHeight="1" outlineLevel="1" x14ac:dyDescent="0.3">
      <c r="B156" s="1094"/>
      <c r="C156" s="1094"/>
      <c r="D156" s="1097"/>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03" zoomScale="55" zoomScaleNormal="55" workbookViewId="0">
      <selection activeCell="E288" sqref="E288"/>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16" t="str">
        <f>IF(Triagem!C30="", "Não indicou na TRIAGEM se esta folha de adequa ao projeto", IF(Triagem!C30="Não", "Não necessita de preencher esta folha", "Folha a ser preenchida"))</f>
        <v>Não indicou na TRIAGEM se esta folha de adequa ao projeto</v>
      </c>
      <c r="E7" s="1116"/>
      <c r="F7" s="1116"/>
      <c r="G7" s="1116"/>
      <c r="H7" s="1116"/>
      <c r="I7" s="1116"/>
    </row>
    <row r="8" spans="2:15" x14ac:dyDescent="0.3"/>
    <row r="9" spans="2:15" x14ac:dyDescent="0.3"/>
    <row r="10" spans="2:15" x14ac:dyDescent="0.3"/>
    <row r="11" spans="2:15" ht="52.2" customHeight="1" outlineLevel="1" x14ac:dyDescent="0.3">
      <c r="B11" s="1118" t="s">
        <v>1091</v>
      </c>
      <c r="C11" s="1118"/>
      <c r="D11" s="1118"/>
      <c r="E11" s="1118"/>
      <c r="F11" s="1118"/>
      <c r="G11" s="1118"/>
      <c r="H11" s="1118"/>
      <c r="I11" s="1118"/>
      <c r="J11" s="1118"/>
      <c r="K11" s="171"/>
      <c r="L11" s="171"/>
      <c r="M11" s="171"/>
      <c r="N11" s="171"/>
      <c r="O11" s="171"/>
    </row>
    <row r="12" spans="2:15" s="233" customFormat="1" ht="33.6" customHeight="1" outlineLevel="1" x14ac:dyDescent="0.3">
      <c r="B12" s="1117" t="s">
        <v>1356</v>
      </c>
      <c r="C12" s="1117"/>
      <c r="D12" s="1117"/>
      <c r="E12" s="1117"/>
      <c r="F12" s="1117"/>
      <c r="G12" s="1117"/>
      <c r="H12" s="1117"/>
      <c r="I12" s="1117"/>
      <c r="J12" s="1117"/>
      <c r="K12" s="448"/>
      <c r="L12" s="448"/>
      <c r="M12" s="448"/>
      <c r="N12" s="448"/>
      <c r="O12" s="448"/>
    </row>
    <row r="13" spans="2:15" s="233" customFormat="1" ht="34.200000000000003" customHeight="1" outlineLevel="1" x14ac:dyDescent="0.3">
      <c r="B13" s="1117" t="s">
        <v>1357</v>
      </c>
      <c r="C13" s="1117"/>
      <c r="D13" s="1117"/>
      <c r="E13" s="1117"/>
      <c r="F13" s="1117"/>
      <c r="G13" s="1117"/>
      <c r="H13" s="1117"/>
      <c r="I13" s="1117"/>
      <c r="J13" s="1117"/>
      <c r="K13" s="448"/>
      <c r="L13" s="448"/>
      <c r="M13" s="448"/>
      <c r="N13" s="448"/>
      <c r="O13" s="448"/>
    </row>
    <row r="14" spans="2:15" s="233" customFormat="1" ht="19.2" customHeight="1" outlineLevel="1" x14ac:dyDescent="0.3">
      <c r="B14" s="1117" t="s">
        <v>1358</v>
      </c>
      <c r="C14" s="1117"/>
      <c r="D14" s="1117"/>
      <c r="E14" s="1117"/>
      <c r="F14" s="1117"/>
      <c r="G14" s="1117"/>
      <c r="H14" s="1117"/>
      <c r="I14" s="1117"/>
      <c r="J14" s="1117"/>
      <c r="K14" s="448"/>
      <c r="L14" s="448"/>
      <c r="M14" s="448"/>
      <c r="N14" s="448"/>
      <c r="O14" s="448"/>
    </row>
    <row r="15" spans="2:15" s="233" customFormat="1" ht="36" customHeight="1" outlineLevel="1" x14ac:dyDescent="0.3">
      <c r="B15" s="1117" t="s">
        <v>1359</v>
      </c>
      <c r="C15" s="1117"/>
      <c r="D15" s="1117"/>
      <c r="E15" s="1117"/>
      <c r="F15" s="1117"/>
      <c r="G15" s="1117"/>
      <c r="H15" s="1117"/>
      <c r="I15" s="1117"/>
      <c r="J15" s="1117"/>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19" t="s">
        <v>610</v>
      </c>
      <c r="C18" s="1119"/>
      <c r="D18" s="1119"/>
      <c r="E18" s="1119"/>
      <c r="F18" s="1119"/>
      <c r="G18" s="1119"/>
      <c r="H18" s="1119"/>
      <c r="I18" s="1119"/>
      <c r="J18" s="1119"/>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20" t="s">
        <v>1565</v>
      </c>
      <c r="C25" s="1120"/>
      <c r="D25" s="1120"/>
      <c r="E25" s="1120"/>
      <c r="F25" s="1120"/>
      <c r="G25" s="1120"/>
      <c r="H25" s="1120"/>
      <c r="I25" s="1120"/>
      <c r="J25" s="1120"/>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70" t="s">
        <v>612</v>
      </c>
      <c r="C47" s="1070" t="s">
        <v>220</v>
      </c>
      <c r="D47" s="1070" t="s">
        <v>221</v>
      </c>
      <c r="E47" s="1070" t="s">
        <v>611</v>
      </c>
      <c r="F47" s="1070" t="s">
        <v>1567</v>
      </c>
      <c r="G47" s="1070" t="s">
        <v>1092</v>
      </c>
      <c r="H47" s="1070" t="s">
        <v>223</v>
      </c>
      <c r="I47" s="1104" t="s">
        <v>732</v>
      </c>
      <c r="J47" s="1105"/>
      <c r="K47" s="1106"/>
      <c r="L47" s="1070" t="s">
        <v>1364</v>
      </c>
      <c r="M47" s="1070" t="s">
        <v>1365</v>
      </c>
      <c r="N47" s="1070" t="s">
        <v>1366</v>
      </c>
      <c r="O47" s="1070" t="s">
        <v>1367</v>
      </c>
    </row>
    <row r="48" spans="2:16" s="314" customFormat="1" outlineLevel="1" x14ac:dyDescent="0.3">
      <c r="B48" s="1071"/>
      <c r="C48" s="1071"/>
      <c r="D48" s="1071"/>
      <c r="E48" s="1071"/>
      <c r="F48" s="1071"/>
      <c r="G48" s="1071"/>
      <c r="H48" s="1071"/>
      <c r="I48" s="1107"/>
      <c r="J48" s="1108"/>
      <c r="K48" s="1109"/>
      <c r="L48" s="1071"/>
      <c r="M48" s="1071"/>
      <c r="N48" s="1071"/>
      <c r="O48" s="1071"/>
    </row>
    <row r="49" spans="1:15" s="314" customFormat="1" ht="18" outlineLevel="1" x14ac:dyDescent="0.3">
      <c r="B49" s="1083"/>
      <c r="C49" s="1083"/>
      <c r="D49" s="1083"/>
      <c r="E49" s="1083"/>
      <c r="F49" s="1083"/>
      <c r="G49" s="1083"/>
      <c r="H49" s="1083"/>
      <c r="I49" s="257" t="s">
        <v>1368</v>
      </c>
      <c r="J49" s="257" t="s">
        <v>1369</v>
      </c>
      <c r="K49" s="257" t="s">
        <v>1370</v>
      </c>
      <c r="L49" s="1083"/>
      <c r="M49" s="1083"/>
      <c r="N49" s="1083"/>
      <c r="O49" s="1083"/>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outlineLevel="1" x14ac:dyDescent="0.3">
      <c r="B51" s="454"/>
      <c r="C51" s="454"/>
      <c r="D51" s="454"/>
      <c r="E51" s="540"/>
      <c r="F51" s="455"/>
      <c r="G51" s="456"/>
      <c r="H51" s="543" t="str">
        <f>IF(D51="","",VLOOKUP(D51,'Fatores de Emissão'!$D$86:$F$96,3,FALSE))</f>
        <v/>
      </c>
      <c r="I51" s="979" t="str">
        <f>IF(OR($D51="",$D51="-"),"",VLOOKUP($D51,'Fatores de Emissão'!$D$86:$E$96,2,FALSE))</f>
        <v/>
      </c>
      <c r="J51" s="979" t="str">
        <f>IF(OR($D51="",$D51="-"),"",VLOOKUP($D51,'Fatores de Emissão'!$D$86:$G$96,4,FALSE))</f>
        <v/>
      </c>
      <c r="K51" s="979" t="str">
        <f>IF(OR($D51="",$D51="-"),"",VLOOKUP($D51,'Fatores de Emissão'!$D$86:$I$96,6,FALSE))</f>
        <v/>
      </c>
      <c r="L51" s="979" t="str">
        <f>IFERROR(IF((OR($D51="",$D51="-")),"",IF(H51="kg/km",I51*E51/1000,IF(H51="kg/p.km",E51*#REF!*I51/1000,E51*#REF!*I51/1000))),"-")</f>
        <v/>
      </c>
      <c r="M51" s="979" t="str">
        <f>IFERROR(IF((OR($D51="",$D51="-")),"",IF(H51="kg/km",J51*E51/1000,IF(H51="kg/p.km",E51*#REF!*J51/1000,E51*#REF!*J51/1000))),"-")</f>
        <v/>
      </c>
      <c r="N51" s="979" t="str">
        <f>IFERROR(IF((OR($D51="",$D51="-")),"",IF(H51="kg/km",K51*E51/1000,IF(H51="kg/p.km",E51*#REF!*K51/1000,E51*#REF!*K51/1000))),"-")</f>
        <v/>
      </c>
      <c r="O51" s="980" t="str">
        <f>IF(B51="","",IF(D51="","",L51*'Fatores de Emissão'!$E$252+'Combustão Móvel'!M51*'Fatores de Emissão'!$E$248+'Combustão Móvel'!N51*'Fatores de Emissão'!$E$249))</f>
        <v/>
      </c>
    </row>
    <row r="52" spans="1:15" s="428" customFormat="1" outlineLevel="1" x14ac:dyDescent="0.3">
      <c r="B52" s="454"/>
      <c r="C52" s="454"/>
      <c r="D52" s="454"/>
      <c r="E52" s="540"/>
      <c r="F52" s="455"/>
      <c r="G52" s="456"/>
      <c r="H52" s="543" t="str">
        <f>IF(D52="","",VLOOKUP(D52,'Fatores de Emissão'!$D$86:$F$96,3,FALSE))</f>
        <v/>
      </c>
      <c r="I52" s="979" t="str">
        <f>IF(OR($D52="",$D52="-"),"",VLOOKUP($D52,'Fatores de Emissão'!$D$86:$E$96,2,FALSE))</f>
        <v/>
      </c>
      <c r="J52" s="979" t="str">
        <f>IF(OR($D52="",$D52="-"),"",VLOOKUP($D52,'Fatores de Emissão'!$D$86:$G$96,4,FALSE))</f>
        <v/>
      </c>
      <c r="K52" s="979" t="str">
        <f>IF(OR($D52="",$D52="-"),"",VLOOKUP($D52,'Fatores de Emissão'!$D$86:$I$96,6,FALSE))</f>
        <v/>
      </c>
      <c r="L52" s="979" t="str">
        <f>IFERROR(IF((OR($D52="",$D52="-")),"",IF(H52="kg/km",I52*E52/1000,IF(H52="kg/p.km",E52*#REF!*I52/1000,E52*#REF!*I52/1000))),"-")</f>
        <v/>
      </c>
      <c r="M52" s="979" t="str">
        <f>IFERROR(IF((OR($D52="",$D52="-")),"",IF(H52="kg/km",J52*E52/1000,IF(H52="kg/p.km",E52*#REF!*J52/1000,E52*#REF!*J52/1000))),"-")</f>
        <v/>
      </c>
      <c r="N52" s="979" t="str">
        <f>IFERROR(IF((OR($D52="",$D52="-")),"",IF(H52="kg/km",K52*E52/1000,IF(H52="kg/p.km",E52*#REF!*K52/1000,E52*#REF!*K52/1000))),"-")</f>
        <v/>
      </c>
      <c r="O52" s="980" t="str">
        <f>IF(B52="","",IF(D52="","",L52*'Fatores de Emissão'!$E$252+'Combustão Móvel'!M52*'Fatores de Emissão'!$E$248+'Combustão Móvel'!N52*'Fatores de Emissão'!$E$249))</f>
        <v/>
      </c>
    </row>
    <row r="53" spans="1:15" s="428" customForma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14"/>
      <c r="K151" s="1115"/>
      <c r="L151" s="981">
        <f>SUM(L51:L150)</f>
        <v>0</v>
      </c>
      <c r="M151" s="981">
        <f>SUM(M51:M150)</f>
        <v>0</v>
      </c>
      <c r="N151" s="981">
        <f>SUM(N51:N150)</f>
        <v>0</v>
      </c>
      <c r="O151" s="982">
        <f>SUM(O51:O150)</f>
        <v>0</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70" t="s">
        <v>713</v>
      </c>
      <c r="C165" s="1070" t="s">
        <v>220</v>
      </c>
      <c r="D165" s="1070" t="s">
        <v>221</v>
      </c>
      <c r="E165" s="1070" t="s">
        <v>611</v>
      </c>
      <c r="F165" s="1070" t="s">
        <v>224</v>
      </c>
      <c r="G165" s="1070" t="s">
        <v>222</v>
      </c>
      <c r="H165" s="1070" t="s">
        <v>1568</v>
      </c>
      <c r="I165" s="1070" t="s">
        <v>558</v>
      </c>
      <c r="J165" s="1070" t="s">
        <v>223</v>
      </c>
      <c r="K165" s="1104" t="s">
        <v>618</v>
      </c>
      <c r="L165" s="1105"/>
      <c r="M165" s="1106"/>
      <c r="N165" s="1070" t="s">
        <v>1374</v>
      </c>
      <c r="O165" s="1070" t="s">
        <v>1375</v>
      </c>
      <c r="P165" s="1070" t="s">
        <v>1376</v>
      </c>
      <c r="Q165" s="1070" t="s">
        <v>1377</v>
      </c>
    </row>
    <row r="166" spans="1:17" ht="11.4" customHeight="1" outlineLevel="1" x14ac:dyDescent="0.3">
      <c r="A166" s="314"/>
      <c r="B166" s="1071"/>
      <c r="C166" s="1071"/>
      <c r="D166" s="1071"/>
      <c r="E166" s="1071"/>
      <c r="F166" s="1071"/>
      <c r="G166" s="1071"/>
      <c r="H166" s="1071"/>
      <c r="I166" s="1071"/>
      <c r="J166" s="1071"/>
      <c r="K166" s="1107"/>
      <c r="L166" s="1108"/>
      <c r="M166" s="1109"/>
      <c r="N166" s="1071"/>
      <c r="O166" s="1071"/>
      <c r="P166" s="1071"/>
      <c r="Q166" s="1071"/>
    </row>
    <row r="167" spans="1:17" ht="30" customHeight="1" outlineLevel="1" x14ac:dyDescent="0.3">
      <c r="A167" s="314"/>
      <c r="B167" s="1083"/>
      <c r="C167" s="1083"/>
      <c r="D167" s="1083"/>
      <c r="E167" s="1083"/>
      <c r="F167" s="1083"/>
      <c r="G167" s="1083"/>
      <c r="H167" s="1083"/>
      <c r="I167" s="1083"/>
      <c r="J167" s="1083"/>
      <c r="K167" s="257" t="s">
        <v>1368</v>
      </c>
      <c r="L167" s="257" t="s">
        <v>1369</v>
      </c>
      <c r="M167" s="257" t="s">
        <v>1370</v>
      </c>
      <c r="N167" s="1083"/>
      <c r="O167" s="1083"/>
      <c r="P167" s="1083"/>
      <c r="Q167" s="1083"/>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0"/>
      <c r="M269" s="1111"/>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70" t="s">
        <v>612</v>
      </c>
      <c r="C282" s="1070" t="s">
        <v>220</v>
      </c>
      <c r="D282" s="1070" t="s">
        <v>200</v>
      </c>
      <c r="E282" s="1070" t="s">
        <v>611</v>
      </c>
      <c r="F282" s="1070" t="s">
        <v>224</v>
      </c>
      <c r="G282" s="1070" t="s">
        <v>222</v>
      </c>
      <c r="H282" s="1070" t="s">
        <v>1568</v>
      </c>
      <c r="I282" s="1070" t="s">
        <v>558</v>
      </c>
      <c r="J282" s="1070" t="s">
        <v>223</v>
      </c>
      <c r="K282" s="1104" t="s">
        <v>618</v>
      </c>
      <c r="L282" s="1105"/>
      <c r="M282" s="1106"/>
      <c r="N282" s="1070" t="s">
        <v>1374</v>
      </c>
      <c r="O282" s="1070" t="s">
        <v>1375</v>
      </c>
      <c r="P282" s="1070" t="s">
        <v>1376</v>
      </c>
      <c r="Q282" s="1070" t="s">
        <v>1377</v>
      </c>
    </row>
    <row r="283" spans="1:17" s="314" customFormat="1" ht="11.4" customHeight="1" outlineLevel="1" x14ac:dyDescent="0.3">
      <c r="B283" s="1071"/>
      <c r="C283" s="1071"/>
      <c r="D283" s="1071"/>
      <c r="E283" s="1071"/>
      <c r="F283" s="1071"/>
      <c r="G283" s="1071"/>
      <c r="H283" s="1071"/>
      <c r="I283" s="1071"/>
      <c r="J283" s="1071"/>
      <c r="K283" s="1107"/>
      <c r="L283" s="1108"/>
      <c r="M283" s="1109"/>
      <c r="N283" s="1071"/>
      <c r="O283" s="1071"/>
      <c r="P283" s="1071"/>
      <c r="Q283" s="1071"/>
    </row>
    <row r="284" spans="1:17" s="314" customFormat="1" ht="23.4" customHeight="1" outlineLevel="1" x14ac:dyDescent="0.3">
      <c r="B284" s="1083"/>
      <c r="C284" s="1083"/>
      <c r="D284" s="1083"/>
      <c r="E284" s="1083"/>
      <c r="F284" s="1083"/>
      <c r="G284" s="1083"/>
      <c r="H284" s="1083"/>
      <c r="I284" s="1083"/>
      <c r="J284" s="1083"/>
      <c r="K284" s="257" t="s">
        <v>1368</v>
      </c>
      <c r="L284" s="257" t="s">
        <v>1369</v>
      </c>
      <c r="M284" s="257" t="s">
        <v>1370</v>
      </c>
      <c r="N284" s="1083"/>
      <c r="O284" s="1083"/>
      <c r="P284" s="1083"/>
      <c r="Q284" s="1083"/>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70" t="s">
        <v>713</v>
      </c>
      <c r="C399" s="1070" t="s">
        <v>220</v>
      </c>
      <c r="D399" s="1070" t="s">
        <v>200</v>
      </c>
      <c r="E399" s="1070" t="s">
        <v>611</v>
      </c>
      <c r="F399" s="1070" t="s">
        <v>224</v>
      </c>
      <c r="G399" s="1070" t="s">
        <v>222</v>
      </c>
      <c r="H399" s="1070" t="s">
        <v>1569</v>
      </c>
      <c r="I399" s="1070" t="s">
        <v>558</v>
      </c>
      <c r="J399" s="1070" t="s">
        <v>223</v>
      </c>
      <c r="K399" s="1104" t="s">
        <v>618</v>
      </c>
      <c r="L399" s="1105"/>
      <c r="M399" s="1106"/>
      <c r="N399" s="1070" t="s">
        <v>1374</v>
      </c>
      <c r="O399" s="1070" t="s">
        <v>1375</v>
      </c>
      <c r="P399" s="1070" t="s">
        <v>1376</v>
      </c>
      <c r="Q399" s="1070" t="s">
        <v>1377</v>
      </c>
    </row>
    <row r="400" spans="1:17" ht="13.2" customHeight="1" outlineLevel="1" x14ac:dyDescent="0.3">
      <c r="A400" s="314"/>
      <c r="B400" s="1071"/>
      <c r="C400" s="1071"/>
      <c r="D400" s="1071"/>
      <c r="E400" s="1071"/>
      <c r="F400" s="1071"/>
      <c r="G400" s="1071"/>
      <c r="H400" s="1071"/>
      <c r="I400" s="1071"/>
      <c r="J400" s="1071"/>
      <c r="K400" s="1107"/>
      <c r="L400" s="1108"/>
      <c r="M400" s="1109"/>
      <c r="N400" s="1071"/>
      <c r="O400" s="1071"/>
      <c r="P400" s="1071"/>
      <c r="Q400" s="1071"/>
    </row>
    <row r="401" spans="1:17" ht="28.95" customHeight="1" outlineLevel="1" x14ac:dyDescent="0.3">
      <c r="A401" s="314"/>
      <c r="B401" s="1083"/>
      <c r="C401" s="1083"/>
      <c r="D401" s="1083"/>
      <c r="E401" s="1083"/>
      <c r="F401" s="1083"/>
      <c r="G401" s="1083"/>
      <c r="H401" s="1083"/>
      <c r="I401" s="1083"/>
      <c r="J401" s="1083"/>
      <c r="K401" s="257" t="s">
        <v>1368</v>
      </c>
      <c r="L401" s="257" t="s">
        <v>1369</v>
      </c>
      <c r="M401" s="257" t="s">
        <v>1370</v>
      </c>
      <c r="N401" s="1083"/>
      <c r="O401" s="1083"/>
      <c r="P401" s="1083"/>
      <c r="Q401" s="1083"/>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70" t="s">
        <v>612</v>
      </c>
      <c r="C515" s="1070" t="s">
        <v>220</v>
      </c>
      <c r="D515" s="1070" t="s">
        <v>724</v>
      </c>
      <c r="E515" s="1070" t="s">
        <v>42</v>
      </c>
      <c r="F515" s="1070" t="s">
        <v>731</v>
      </c>
      <c r="G515" s="1070" t="s">
        <v>730</v>
      </c>
      <c r="H515" s="1104" t="s">
        <v>1098</v>
      </c>
      <c r="I515" s="1105"/>
      <c r="J515" s="1106"/>
      <c r="K515" s="1104" t="s">
        <v>1099</v>
      </c>
      <c r="L515" s="1105"/>
      <c r="M515" s="1106"/>
      <c r="N515" s="1070" t="s">
        <v>1377</v>
      </c>
    </row>
    <row r="516" spans="1:16" s="314" customFormat="1" ht="17.399999999999999" customHeight="1" outlineLevel="1" x14ac:dyDescent="0.3">
      <c r="B516" s="1071"/>
      <c r="C516" s="1071"/>
      <c r="D516" s="1071"/>
      <c r="E516" s="1071"/>
      <c r="F516" s="1071"/>
      <c r="G516" s="1071"/>
      <c r="H516" s="1107"/>
      <c r="I516" s="1108"/>
      <c r="J516" s="1109"/>
      <c r="K516" s="1107"/>
      <c r="L516" s="1108"/>
      <c r="M516" s="1109"/>
      <c r="N516" s="1071"/>
    </row>
    <row r="517" spans="1:16" s="314" customFormat="1" ht="17.399999999999999" customHeight="1" outlineLevel="1" x14ac:dyDescent="0.3">
      <c r="B517" s="1083"/>
      <c r="C517" s="1083"/>
      <c r="D517" s="1083"/>
      <c r="E517" s="1083"/>
      <c r="F517" s="1083"/>
      <c r="G517" s="1083"/>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outlineLevel="1" x14ac:dyDescent="0.3">
      <c r="B519" s="454"/>
      <c r="C519" s="454"/>
      <c r="D519" s="454"/>
      <c r="E519" s="557" t="str">
        <f>IF(D519="","",VLOOKUP(D519,'Fatores de Emissão'!$C$145:$K$159,2,FALSE))</f>
        <v/>
      </c>
      <c r="F519" s="540"/>
      <c r="G519" s="557" t="str">
        <f>IF(D519="","",VLOOKUP($D519,'Fatores de Emissão'!$C$145:$K$159,3,FALSE))</f>
        <v/>
      </c>
      <c r="H519" s="979" t="str">
        <f>IF(D519="","",VLOOKUP($D519,'Fatores de Emissão'!$C$145:$K$159,4,FALSE))</f>
        <v/>
      </c>
      <c r="I519" s="979" t="str">
        <f>IF(D519="","",VLOOKUP(D519,'Fatores de Emissão'!$C$145:$K$159,6,FALSE))</f>
        <v/>
      </c>
      <c r="J519" s="979" t="str">
        <f>IF(D519="","",VLOOKUP(D519,'Fatores de Emissão'!$C$145:$K$159,8,FALSE))</f>
        <v/>
      </c>
      <c r="K519" s="979" t="str">
        <f>IF(D519="","",H519*$F519/1000)</f>
        <v/>
      </c>
      <c r="L519" s="979" t="str">
        <f>IF(D519="","",I519*$F519/1000)</f>
        <v/>
      </c>
      <c r="M519" s="979" t="str">
        <f>IF(D519="","",J519*$F519/1000)</f>
        <v/>
      </c>
      <c r="N519" s="980" t="str">
        <f>IF(D519="","",IF(B519="","",IF(D519="","",K519*'Fatores de Emissão'!$E$252+'Combustão Móvel'!L519*'Fatores de Emissão'!$E$248+'Combustão Móvel'!M519*'Fatores de Emissão'!$E$249)))</f>
        <v/>
      </c>
    </row>
    <row r="520" spans="1:16" outlineLevel="1" x14ac:dyDescent="0.3">
      <c r="B520" s="454"/>
      <c r="C520" s="454"/>
      <c r="D520" s="454"/>
      <c r="E520" s="557" t="str">
        <f>IF(D520="","",VLOOKUP(D520,'Fatores de Emissão'!$C$145:$K$159,2,FALSE))</f>
        <v/>
      </c>
      <c r="F520" s="540"/>
      <c r="G520" s="557" t="str">
        <f>IF(D520="","",VLOOKUP($D520,'Fatores de Emissão'!$C$145:$K$159,3,FALSE))</f>
        <v/>
      </c>
      <c r="H520" s="979" t="str">
        <f>IF(D520="","",VLOOKUP($D520,'Fatores de Emissão'!$C$145:$K$159,4,FALSE))</f>
        <v/>
      </c>
      <c r="I520" s="979" t="str">
        <f>IF(D520="","",VLOOKUP(D520,'Fatores de Emissão'!$C$145:$K$159,6,FALSE))</f>
        <v/>
      </c>
      <c r="J520" s="979" t="str">
        <f>IF(D520="","",VLOOKUP(D520,'Fatores de Emissão'!$C$145:$K$159,8,FALSE))</f>
        <v/>
      </c>
      <c r="K520" s="979" t="str">
        <f t="shared" ref="K520:K551" si="30">IF(D520="","",H520*$F520/1000)</f>
        <v/>
      </c>
      <c r="L520" s="979" t="str">
        <f t="shared" ref="L520:L551" si="31">IF(E520="","",I520*$F520/1000)</f>
        <v/>
      </c>
      <c r="M520" s="979" t="str">
        <f t="shared" ref="M520:M551" si="32">IF(D520="","",J520*$F520/1000)</f>
        <v/>
      </c>
      <c r="N520" s="980" t="str">
        <f>IF(D520="","",IF(B520="","",IF(D520="","",K520*'Fatores de Emissão'!$E$252+'Combustão Móvel'!L520*'Fatores de Emissão'!$E$248+'Combustão Móvel'!M520*'Fatores de Emissão'!$E$249)))</f>
        <v/>
      </c>
    </row>
    <row r="521" spans="1:16" outlineLevel="1" x14ac:dyDescent="0.3">
      <c r="B521" s="454"/>
      <c r="C521" s="454"/>
      <c r="D521" s="454"/>
      <c r="E521" s="557" t="str">
        <f>IF(D521="","",VLOOKUP(D521,'Fatores de Emissão'!$C$145:$K$159,2,FALSE))</f>
        <v/>
      </c>
      <c r="F521" s="540"/>
      <c r="G521" s="557" t="str">
        <f>IF(D521="","",VLOOKUP($D521,'Fatores de Emissão'!$C$145:$K$159,3,FALSE))</f>
        <v/>
      </c>
      <c r="H521" s="979" t="str">
        <f>IF(D521="","",VLOOKUP($D521,'Fatores de Emissão'!$C$145:$K$159,4,FALSE))</f>
        <v/>
      </c>
      <c r="I521" s="979" t="str">
        <f>IF(D521="","",VLOOKUP(D521,'Fatores de Emissão'!$C$145:$K$159,6,FALSE))</f>
        <v/>
      </c>
      <c r="J521" s="979" t="str">
        <f>IF(D521="","",VLOOKUP(D521,'Fatores de Emissão'!$C$145:$K$159,8,FALSE))</f>
        <v/>
      </c>
      <c r="K521" s="979" t="str">
        <f t="shared" si="30"/>
        <v/>
      </c>
      <c r="L521" s="979" t="str">
        <f t="shared" si="31"/>
        <v/>
      </c>
      <c r="M521" s="979" t="str">
        <f t="shared" si="32"/>
        <v/>
      </c>
      <c r="N521" s="980" t="str">
        <f>IF(D521="","",IF(B521="","",IF(D521="","",K521*'Fatores de Emissão'!$E$252+'Combustão Móvel'!L521*'Fatores de Emissão'!$E$248+'Combustão Móvel'!M521*'Fatores de Emissão'!$E$249)))</f>
        <v/>
      </c>
    </row>
    <row r="522" spans="1:16" outlineLevel="1" x14ac:dyDescent="0.3">
      <c r="B522" s="454"/>
      <c r="C522" s="454"/>
      <c r="D522" s="454"/>
      <c r="E522" s="557" t="str">
        <f>IF(D522="","",VLOOKUP(D522,'Fatores de Emissão'!$C$145:$K$159,2,FALSE))</f>
        <v/>
      </c>
      <c r="F522" s="540"/>
      <c r="G522" s="557" t="str">
        <f>IF(D522="","",VLOOKUP($D522,'Fatores de Emissão'!$C$145:$K$159,3,FALSE))</f>
        <v/>
      </c>
      <c r="H522" s="979" t="str">
        <f>IF(D522="","",VLOOKUP($D522,'Fatores de Emissão'!$C$145:$K$159,4,FALSE))</f>
        <v/>
      </c>
      <c r="I522" s="979" t="str">
        <f>IF(D522="","",VLOOKUP(D522,'Fatores de Emissão'!$C$145:$K$159,6,FALSE))</f>
        <v/>
      </c>
      <c r="J522" s="979" t="str">
        <f>IF(D522="","",VLOOKUP(D522,'Fatores de Emissão'!$C$145:$K$159,8,FALSE))</f>
        <v/>
      </c>
      <c r="K522" s="979" t="str">
        <f t="shared" si="30"/>
        <v/>
      </c>
      <c r="L522" s="979" t="str">
        <f t="shared" si="31"/>
        <v/>
      </c>
      <c r="M522" s="979" t="str">
        <f t="shared" si="32"/>
        <v/>
      </c>
      <c r="N522" s="980" t="str">
        <f>IF(D522="","",IF(B522="","",IF(D522="","",K522*'Fatores de Emissão'!$E$252+'Combustão Móvel'!L522*'Fatores de Emissão'!$E$248+'Combustão Móvel'!M522*'Fatores de Emissão'!$E$249)))</f>
        <v/>
      </c>
    </row>
    <row r="523" spans="1:16" outlineLevel="1" x14ac:dyDescent="0.3">
      <c r="B523" s="454"/>
      <c r="C523" s="454"/>
      <c r="D523" s="454"/>
      <c r="E523" s="557" t="str">
        <f>IF(D523="","",VLOOKUP(D523,'Fatores de Emissão'!$C$145:$K$159,2,FALSE))</f>
        <v/>
      </c>
      <c r="F523" s="540"/>
      <c r="G523" s="557" t="str">
        <f>IF(D523="","",VLOOKUP($D523,'Fatores de Emissão'!$C$145:$K$159,3,FALSE))</f>
        <v/>
      </c>
      <c r="H523" s="979" t="str">
        <f>IF(D523="","",VLOOKUP($D523,'Fatores de Emissão'!$C$145:$K$159,4,FALSE))</f>
        <v/>
      </c>
      <c r="I523" s="979" t="str">
        <f>IF(D523="","",VLOOKUP(D523,'Fatores de Emissão'!$C$145:$K$159,6,FALSE))</f>
        <v/>
      </c>
      <c r="J523" s="979" t="str">
        <f>IF(D523="","",VLOOKUP(D523,'Fatores de Emissão'!$C$145:$K$159,8,FALSE))</f>
        <v/>
      </c>
      <c r="K523" s="979" t="str">
        <f t="shared" si="30"/>
        <v/>
      </c>
      <c r="L523" s="979" t="str">
        <f t="shared" si="31"/>
        <v/>
      </c>
      <c r="M523" s="979" t="str">
        <f t="shared" si="32"/>
        <v/>
      </c>
      <c r="N523" s="980" t="str">
        <f>IF(D523="","",IF(B523="","",IF(D523="","",K523*'Fatores de Emissão'!$E$252+'Combustão Móvel'!L523*'Fatores de Emissão'!$E$248+'Combustão Móvel'!M523*'Fatores de Emissão'!$E$249)))</f>
        <v/>
      </c>
    </row>
    <row r="524" spans="1:16" outlineLevel="1" x14ac:dyDescent="0.3">
      <c r="B524" s="454"/>
      <c r="C524" s="454"/>
      <c r="D524" s="454"/>
      <c r="E524" s="557" t="str">
        <f>IF(D524="","",VLOOKUP(D524,'Fatores de Emissão'!$C$145:$K$159,2,FALSE))</f>
        <v/>
      </c>
      <c r="F524" s="540"/>
      <c r="G524" s="557" t="str">
        <f>IF(D524="","",VLOOKUP($D524,'Fatores de Emissão'!$C$145:$K$159,3,FALSE))</f>
        <v/>
      </c>
      <c r="H524" s="979" t="str">
        <f>IF(D524="","",VLOOKUP($D524,'Fatores de Emissão'!$C$145:$K$159,4,FALSE))</f>
        <v/>
      </c>
      <c r="I524" s="979" t="str">
        <f>IF(D524="","",VLOOKUP(D524,'Fatores de Emissão'!$C$145:$K$159,6,FALSE))</f>
        <v/>
      </c>
      <c r="J524" s="979" t="str">
        <f>IF(D524="","",VLOOKUP(D524,'Fatores de Emissão'!$C$145:$K$159,8,FALSE))</f>
        <v/>
      </c>
      <c r="K524" s="979" t="str">
        <f t="shared" si="30"/>
        <v/>
      </c>
      <c r="L524" s="979" t="str">
        <f t="shared" si="31"/>
        <v/>
      </c>
      <c r="M524" s="979" t="str">
        <f t="shared" si="32"/>
        <v/>
      </c>
      <c r="N524" s="980" t="str">
        <f>IF(D524="","",IF(B524="","",IF(D524="","",K524*'Fatores de Emissão'!$E$252+'Combustão Móvel'!L524*'Fatores de Emissão'!$E$248+'Combustão Móvel'!M524*'Fatores de Emissão'!$E$249)))</f>
        <v/>
      </c>
    </row>
    <row r="525" spans="1:16" hidden="1" outlineLevel="2" x14ac:dyDescent="0.3">
      <c r="B525" s="454"/>
      <c r="C525" s="454"/>
      <c r="D525" s="454"/>
      <c r="E525" s="557" t="str">
        <f>IF(D525="","",VLOOKUP(D525,'Fatores de Emissão'!$C$145:$K$159,2,FALSE))</f>
        <v/>
      </c>
      <c r="F525" s="540"/>
      <c r="G525" s="557" t="str">
        <f>IF(D525="","",VLOOKUP($D525,'Fatores de Emissão'!$C$145:$K$159,3,FALSE))</f>
        <v/>
      </c>
      <c r="H525" s="544" t="str">
        <f>IF(D525="","",VLOOKUP($D525,'Fatores de Emissão'!$C$145:$K$159,4,FALSE))</f>
        <v/>
      </c>
      <c r="I525" s="544" t="str">
        <f>IF(D525="","",VLOOKUP(D525,'Fatores de Emissão'!$C$145:$K$159,6,FALSE))</f>
        <v/>
      </c>
      <c r="J525" s="544" t="str">
        <f>IF(D525="","",VLOOKUP(D525,'Fatores de Emissão'!$C$145:$K$159,8,FALSE))</f>
        <v/>
      </c>
      <c r="K525" s="544" t="str">
        <f t="shared" si="30"/>
        <v/>
      </c>
      <c r="L525" s="544" t="str">
        <f t="shared" si="31"/>
        <v/>
      </c>
      <c r="M525" s="544" t="str">
        <f t="shared" si="32"/>
        <v/>
      </c>
      <c r="N525" s="542" t="str">
        <f>IF(D525="","",IF(B525="","",IF(D525="","",K525*'Fatores de Emissão'!$E$252+'Combustão Móvel'!L525*'Fatores de Emissão'!$E$248+'Combustão Móvel'!M525*'Fatores de Emissão'!$E$249)))</f>
        <v/>
      </c>
    </row>
    <row r="526" spans="1:16" hidden="1" outlineLevel="2" x14ac:dyDescent="0.3">
      <c r="B526" s="454"/>
      <c r="C526" s="454"/>
      <c r="D526" s="454"/>
      <c r="E526" s="557" t="str">
        <f>IF(D526="","",VLOOKUP(D526,'Fatores de Emissão'!$C$145:$K$159,2,FALSE))</f>
        <v/>
      </c>
      <c r="F526" s="540"/>
      <c r="G526" s="557" t="str">
        <f>IF(D526="","",VLOOKUP($D526,'Fatores de Emissão'!$C$145:$K$159,3,FALSE))</f>
        <v/>
      </c>
      <c r="H526" s="544" t="str">
        <f>IF(D526="","",VLOOKUP($D526,'Fatores de Emissão'!$C$145:$K$159,4,FALSE))</f>
        <v/>
      </c>
      <c r="I526" s="544" t="str">
        <f>IF(D526="","",VLOOKUP(D526,'Fatores de Emissão'!$C$145:$K$159,6,FALSE))</f>
        <v/>
      </c>
      <c r="J526" s="544" t="str">
        <f>IF(D526="","",VLOOKUP(D526,'Fatores de Emissão'!$C$145:$K$159,8,FALSE))</f>
        <v/>
      </c>
      <c r="K526" s="544" t="str">
        <f t="shared" si="30"/>
        <v/>
      </c>
      <c r="L526" s="544" t="str">
        <f t="shared" si="31"/>
        <v/>
      </c>
      <c r="M526" s="544" t="str">
        <f t="shared" si="32"/>
        <v/>
      </c>
      <c r="N526" s="542" t="str">
        <f>IF(D526="","",IF(B526="","",IF(D526="","",K526*'Fatores de Emissão'!$E$252+'Combustão Móvel'!L526*'Fatores de Emissão'!$E$248+'Combustão Móvel'!M526*'Fatores de Emissão'!$E$249)))</f>
        <v/>
      </c>
    </row>
    <row r="527" spans="1:16" hidden="1" outlineLevel="2" x14ac:dyDescent="0.3">
      <c r="B527" s="454"/>
      <c r="C527" s="454"/>
      <c r="D527" s="454"/>
      <c r="E527" s="557" t="str">
        <f>IF(D527="","",VLOOKUP(D527,'Fatores de Emissão'!$C$145:$K$159,2,FALSE))</f>
        <v/>
      </c>
      <c r="F527" s="540"/>
      <c r="G527" s="557" t="str">
        <f>IF(D527="","",VLOOKUP($D527,'Fatores de Emissão'!$C$145:$K$159,3,FALSE))</f>
        <v/>
      </c>
      <c r="H527" s="544" t="str">
        <f>IF(D527="","",VLOOKUP($D527,'Fatores de Emissão'!$C$145:$K$159,4,FALSE))</f>
        <v/>
      </c>
      <c r="I527" s="544" t="str">
        <f>IF(D527="","",VLOOKUP(D527,'Fatores de Emissão'!$C$145:$K$159,6,FALSE))</f>
        <v/>
      </c>
      <c r="J527" s="544" t="str">
        <f>IF(D527="","",VLOOKUP(D527,'Fatores de Emissão'!$C$145:$K$159,8,FALSE))</f>
        <v/>
      </c>
      <c r="K527" s="544" t="str">
        <f t="shared" si="30"/>
        <v/>
      </c>
      <c r="L527" s="544" t="str">
        <f t="shared" si="31"/>
        <v/>
      </c>
      <c r="M527" s="544" t="str">
        <f t="shared" si="32"/>
        <v/>
      </c>
      <c r="N527" s="542" t="str">
        <f>IF(D527="","",IF(B527="","",IF(D527="","",K527*'Fatores de Emissão'!$E$252+'Combustão Móvel'!L527*'Fatores de Emissão'!$E$248+'Combustão Móvel'!M527*'Fatores de Emissão'!$E$249)))</f>
        <v/>
      </c>
    </row>
    <row r="528" spans="1:16" hidden="1"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hidden="1"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hidden="1"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hidden="1"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hidden="1"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hidden="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idden="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idden="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collapsed="1" x14ac:dyDescent="0.3">
      <c r="B552" s="1101" t="s">
        <v>41</v>
      </c>
      <c r="C552" s="1101"/>
      <c r="D552" s="1101"/>
      <c r="E552" s="1101"/>
      <c r="F552" s="1101"/>
      <c r="G552" s="1101"/>
      <c r="H552" s="1101"/>
      <c r="I552" s="1101"/>
      <c r="J552" s="1101"/>
      <c r="K552" s="979">
        <f>SUM(K519:K551)</f>
        <v>0</v>
      </c>
      <c r="L552" s="979">
        <f>SUM(L519:L551)</f>
        <v>0</v>
      </c>
      <c r="M552" s="979">
        <f>SUM(M519:M551)</f>
        <v>0</v>
      </c>
      <c r="N552" s="980">
        <f>SUM(N519:N551)</f>
        <v>0</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03" t="s">
        <v>1481</v>
      </c>
      <c r="F558" s="1103"/>
      <c r="G558" s="1103"/>
      <c r="H558" s="304"/>
    </row>
    <row r="559" spans="2:14" s="357" customFormat="1" ht="33" customHeight="1" x14ac:dyDescent="0.3">
      <c r="E559" s="370" t="str">
        <f>'Combustão Estacionária'!D399</f>
        <v>Construção ou fase preparatória</v>
      </c>
      <c r="F559" s="371" t="s">
        <v>37</v>
      </c>
      <c r="G559" s="372" t="s">
        <v>264</v>
      </c>
    </row>
    <row r="560" spans="2:14" x14ac:dyDescent="0.3">
      <c r="B560" s="1067" t="s">
        <v>1487</v>
      </c>
      <c r="C560" s="1068"/>
      <c r="D560" s="1069"/>
      <c r="E560" s="822">
        <f>SUMIF(FACM!$L$21:$L$420,FACM!$B$13,FACM!F$21:F$420)-SUMIF(FACM!$L$121:$L$220,FACM!$B$13,FACM!F$121:F$220)+SUMIF($B$519:$B$551,$E$559,$N$519:$N$551)</f>
        <v>0</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13" t="s">
        <v>926</v>
      </c>
      <c r="C561" s="1113"/>
      <c r="D561" s="1113"/>
      <c r="E561" s="822">
        <f>SUM(FACM!F$121:F$220)</f>
        <v>0</v>
      </c>
      <c r="F561" s="822">
        <f>SUM(FACM!G$121:G$220)</f>
        <v>0</v>
      </c>
      <c r="G561" s="822">
        <f>SUM(FACM!H$121:H$220)</f>
        <v>0</v>
      </c>
      <c r="H561" s="464"/>
    </row>
    <row r="562" spans="2:12" x14ac:dyDescent="0.3">
      <c r="B562" s="1113" t="s">
        <v>1486</v>
      </c>
      <c r="C562" s="1113"/>
      <c r="D562" s="1113"/>
      <c r="E562" s="822">
        <f>SUM(E563:E565)</f>
        <v>0</v>
      </c>
      <c r="F562" s="822">
        <f t="shared" ref="F562:G562" si="33">SUM(F563:F565)</f>
        <v>0</v>
      </c>
      <c r="G562" s="822">
        <f t="shared" si="33"/>
        <v>0</v>
      </c>
      <c r="H562" s="464"/>
    </row>
    <row r="563" spans="2:12" s="248" customFormat="1" x14ac:dyDescent="0.3">
      <c r="B563" s="1102" t="s">
        <v>1101</v>
      </c>
      <c r="C563" s="1102"/>
      <c r="D563" s="1102"/>
      <c r="E563" s="823">
        <f>SUMIF(FACM!$C$21:$C$420,E$559,FACM!$R$21:$R$420)-SUMIF(FACM!$C$121:$C$220,E$559,FACM!$R$121:$R$220)</f>
        <v>0</v>
      </c>
      <c r="F563" s="823">
        <f>SUMIF(FACM!$C$21:$C$420,F$559,FACM!$R$21:$R$420)-SUMIF(FACM!$C$121:$C$220,F$559,FACM!$R$121:$R$220)</f>
        <v>0</v>
      </c>
      <c r="G563" s="823">
        <f>SUMIF(FACM!$C$21:$C$420,G$559,FACM!$R$21:$R$420)-SUMIF(FACM!$C$121:$C$220,G$559,FACM!$R$121:$R$220)</f>
        <v>0</v>
      </c>
      <c r="H563" s="465"/>
    </row>
    <row r="564" spans="2:12" s="248" customFormat="1" x14ac:dyDescent="0.3">
      <c r="B564" s="1102" t="s">
        <v>1102</v>
      </c>
      <c r="C564" s="1102"/>
      <c r="D564" s="1102"/>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02" t="s">
        <v>1103</v>
      </c>
      <c r="C565" s="1102"/>
      <c r="D565" s="1102"/>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03" t="s">
        <v>1482</v>
      </c>
      <c r="F567" s="1103"/>
      <c r="G567" s="1103"/>
      <c r="H567" s="1103"/>
    </row>
    <row r="568" spans="2:12" s="357" customFormat="1" ht="33" customHeight="1" x14ac:dyDescent="0.3">
      <c r="E568" s="370" t="str">
        <f>E559</f>
        <v>Construção ou fase preparatória</v>
      </c>
      <c r="F568" s="371" t="s">
        <v>37</v>
      </c>
      <c r="G568" s="372" t="s">
        <v>264</v>
      </c>
      <c r="H568" s="468" t="s">
        <v>41</v>
      </c>
      <c r="K568" s="469"/>
      <c r="L568" s="469"/>
    </row>
    <row r="569" spans="2:12" ht="19.2" customHeight="1" x14ac:dyDescent="0.3">
      <c r="B569" s="1067" t="str">
        <f t="shared" ref="B569:B574" si="34">B560</f>
        <v>Emissões da combustão móvel DIRETAS</v>
      </c>
      <c r="C569" s="1068"/>
      <c r="D569" s="1069"/>
      <c r="E569" s="824">
        <f>IF('Dados gerais'!$F$33="", 'Fatores de Emissão'!$E$12*E560, 'Dados gerais'!$F$33*E560)</f>
        <v>0</v>
      </c>
      <c r="F569" s="824">
        <f>IF('Dados gerais'!$F$34="", 'Fatores de Emissão'!$E$13*F560, 'Dados gerais'!$F$34*F560)</f>
        <v>0</v>
      </c>
      <c r="G569" s="824">
        <f>IF('Dados gerais'!$F$35="", 'Fatores de Emissão'!$E$14*G560, 'Dados gerais'!$F$35*G560)</f>
        <v>0</v>
      </c>
      <c r="H569" s="825">
        <f t="shared" ref="H569:H574" si="35">SUM(E569:G569)</f>
        <v>0</v>
      </c>
      <c r="I569" s="171"/>
      <c r="J569" s="171"/>
      <c r="K569" s="171"/>
      <c r="L569" s="171"/>
    </row>
    <row r="570" spans="2:12" ht="23.4" customHeight="1" x14ac:dyDescent="0.3">
      <c r="B570" s="1067" t="str">
        <f t="shared" si="34"/>
        <v xml:space="preserve">Emissões elétricas (indiretas) </v>
      </c>
      <c r="C570" s="1068"/>
      <c r="D570" s="1069"/>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67" t="str">
        <f t="shared" si="34"/>
        <v>Emissões da combustão móvel INDIRETAS</v>
      </c>
      <c r="C571" s="1068"/>
      <c r="D571" s="1069"/>
      <c r="E571" s="824">
        <f>SUM(E572:E574)</f>
        <v>0</v>
      </c>
      <c r="F571" s="824">
        <f t="shared" ref="F571:G571" si="36">SUM(F572:F574)</f>
        <v>0</v>
      </c>
      <c r="G571" s="824">
        <f t="shared" si="36"/>
        <v>0</v>
      </c>
      <c r="H571" s="825">
        <f>SUM(E571:G571)</f>
        <v>0</v>
      </c>
      <c r="I571" s="171"/>
      <c r="J571" s="171"/>
      <c r="K571" s="171"/>
      <c r="L571" s="171"/>
    </row>
    <row r="572" spans="2:12" ht="20.399999999999999" customHeight="1" x14ac:dyDescent="0.3">
      <c r="B572" s="1098" t="str">
        <f t="shared" si="34"/>
        <v xml:space="preserve">       Transporte a montante</v>
      </c>
      <c r="C572" s="1099"/>
      <c r="D572" s="1100"/>
      <c r="E572" s="826">
        <f>IF('Dados gerais'!$F$33="", 'Fatores de Emissão'!$E$12*E563, 'Dados gerais'!$F$33*E563)</f>
        <v>0</v>
      </c>
      <c r="F572" s="826">
        <f>IF('Dados gerais'!$F$34="", 'Fatores de Emissão'!$E$13*F563, 'Dados gerais'!$F$34*F563)</f>
        <v>0</v>
      </c>
      <c r="G572" s="826">
        <f>IF('Dados gerais'!$F$35="", 'Fatores de Emissão'!$E$14*G563, 'Dados gerais'!$F$34*G563)</f>
        <v>0</v>
      </c>
      <c r="H572" s="827">
        <f t="shared" si="35"/>
        <v>0</v>
      </c>
      <c r="I572" s="171"/>
      <c r="J572" s="171"/>
      <c r="K572" s="171"/>
      <c r="L572" s="171"/>
    </row>
    <row r="573" spans="2:12" x14ac:dyDescent="0.3">
      <c r="B573" s="1098" t="str">
        <f t="shared" si="34"/>
        <v xml:space="preserve">       Viagens a negócios</v>
      </c>
      <c r="C573" s="1099"/>
      <c r="D573" s="1100"/>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12"/>
      <c r="J573" s="1112"/>
      <c r="K573" s="1112"/>
      <c r="L573" s="171"/>
    </row>
    <row r="574" spans="2:12" x14ac:dyDescent="0.3">
      <c r="B574" s="1098" t="str">
        <f t="shared" si="34"/>
        <v xml:space="preserve">       Transporte a jusante</v>
      </c>
      <c r="C574" s="1099"/>
      <c r="D574" s="1100"/>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0</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I573:K573"/>
    <mergeCell ref="B560:D560"/>
    <mergeCell ref="B561:D561"/>
    <mergeCell ref="B562:D562"/>
    <mergeCell ref="B563:D563"/>
    <mergeCell ref="F47:F49"/>
    <mergeCell ref="B165:B167"/>
    <mergeCell ref="C165:C167"/>
    <mergeCell ref="M47:M49"/>
    <mergeCell ref="D515:D517"/>
    <mergeCell ref="B47:B49"/>
    <mergeCell ref="F515:F517"/>
    <mergeCell ref="L269:M26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Fábio Cardona</cp:lastModifiedBy>
  <dcterms:created xsi:type="dcterms:W3CDTF">2023-04-30T14:56:45Z</dcterms:created>
  <dcterms:modified xsi:type="dcterms:W3CDTF">2025-09-19T16:21:12Z</dcterms:modified>
</cp:coreProperties>
</file>