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C:\Users\Filipa\Desktop\Amarílis\Fundiven\Emissões\"/>
    </mc:Choice>
  </mc:AlternateContent>
  <bookViews>
    <workbookView xWindow="0" yWindow="0" windowWidth="28800" windowHeight="11835" tabRatio="851" activeTab="6"/>
  </bookViews>
  <sheets>
    <sheet name="Distância de Chaminés " sheetId="8" r:id="rId1"/>
    <sheet name="Caudais Vol., Massic., Temp." sheetId="5" r:id="rId2"/>
    <sheet name="Cálculo de S e Hp" sheetId="6" r:id="rId3"/>
    <sheet name="Hp(Dependência de Chaminés)" sheetId="4" r:id="rId4"/>
    <sheet name="Obstaculo próx." sheetId="9" r:id="rId5"/>
    <sheet name="Hc(dependência do  obstáculo)" sheetId="3" r:id="rId6"/>
    <sheet name="Altura final da Chaminés" sheetId="7" r:id="rId7"/>
  </sheets>
  <calcPr calcId="152511"/>
</workbook>
</file>

<file path=xl/calcChain.xml><?xml version="1.0" encoding="utf-8"?>
<calcChain xmlns="http://schemas.openxmlformats.org/spreadsheetml/2006/main">
  <c r="H12" i="4" l="1"/>
  <c r="I14" i="4" l="1"/>
  <c r="I13" i="4"/>
  <c r="I12" i="4"/>
  <c r="I11" i="4"/>
  <c r="I10" i="4"/>
  <c r="I9" i="4"/>
  <c r="I8" i="4"/>
  <c r="I7" i="4"/>
  <c r="I6" i="4"/>
  <c r="I5" i="4"/>
  <c r="I4" i="4"/>
  <c r="I3" i="4"/>
  <c r="H14" i="4"/>
  <c r="H13" i="4"/>
  <c r="H11" i="4"/>
  <c r="H10" i="4"/>
  <c r="H9" i="4"/>
  <c r="H8" i="4"/>
  <c r="H7" i="4"/>
  <c r="H6" i="4"/>
  <c r="H5" i="4"/>
  <c r="H4" i="4"/>
  <c r="H3" i="4"/>
  <c r="E14" i="4" l="1"/>
  <c r="D14" i="4"/>
  <c r="C14" i="4"/>
  <c r="E13" i="4"/>
  <c r="D13" i="4"/>
  <c r="C13" i="4"/>
  <c r="E9" i="4"/>
  <c r="D9" i="4"/>
  <c r="C9" i="4"/>
  <c r="E8" i="4"/>
  <c r="D8" i="4"/>
  <c r="C8" i="4"/>
  <c r="G3" i="5" l="1"/>
  <c r="F7" i="5"/>
  <c r="D5" i="4" l="1"/>
  <c r="D11" i="4"/>
  <c r="D7" i="4"/>
  <c r="D4" i="4"/>
  <c r="D10" i="4"/>
  <c r="D6" i="4"/>
  <c r="D3" i="4"/>
  <c r="D12" i="4"/>
  <c r="L14" i="6"/>
  <c r="K14" i="6"/>
  <c r="J14" i="6"/>
  <c r="L13" i="6"/>
  <c r="K13" i="6"/>
  <c r="J13" i="6"/>
  <c r="J12" i="6"/>
  <c r="J13" i="5"/>
  <c r="J14" i="5"/>
  <c r="E13" i="5"/>
  <c r="G14" i="4" s="1"/>
  <c r="J14" i="4" s="1"/>
  <c r="G14" i="7" s="1"/>
  <c r="E14" i="5"/>
  <c r="G13" i="4" s="1"/>
  <c r="J13" i="4" s="1"/>
  <c r="G13" i="7" s="1"/>
  <c r="H13" i="7" s="1"/>
  <c r="M13" i="6" l="1"/>
  <c r="P13" i="6" s="1"/>
  <c r="S13" i="6" s="1"/>
  <c r="T13" i="6" s="1"/>
  <c r="M14" i="6"/>
  <c r="P14" i="6" s="1"/>
  <c r="S14" i="6" s="1"/>
  <c r="T14" i="6" s="1"/>
  <c r="E18" i="7"/>
  <c r="J14" i="7"/>
  <c r="J13" i="7"/>
  <c r="F13" i="7"/>
  <c r="E11" i="3"/>
  <c r="E12" i="3"/>
  <c r="E13" i="3"/>
  <c r="F14" i="7" s="1"/>
  <c r="H14" i="7" s="1"/>
  <c r="K14" i="7" s="1"/>
  <c r="D10" i="8"/>
  <c r="B10" i="8"/>
  <c r="I7" i="8"/>
  <c r="K13" i="7" l="1"/>
  <c r="F255" i="9" l="1"/>
  <c r="E255" i="9"/>
  <c r="H255" i="9" s="1"/>
  <c r="D255" i="9"/>
  <c r="C255" i="9"/>
  <c r="F251" i="9"/>
  <c r="E251" i="9"/>
  <c r="H251" i="9" s="1"/>
  <c r="D251" i="9"/>
  <c r="C251" i="9"/>
  <c r="L33" i="8" l="1"/>
  <c r="M33" i="8"/>
  <c r="J33" i="8"/>
  <c r="J34" i="8"/>
  <c r="M34" i="8"/>
  <c r="L32" i="8"/>
  <c r="M32" i="8"/>
  <c r="L31" i="8"/>
  <c r="M31" i="8"/>
  <c r="L30" i="8"/>
  <c r="M30" i="8"/>
  <c r="L29" i="8"/>
  <c r="M29" i="8"/>
  <c r="L28" i="8"/>
  <c r="M28" i="8"/>
  <c r="L27" i="8"/>
  <c r="M27" i="8"/>
  <c r="L26" i="8"/>
  <c r="M26" i="8"/>
  <c r="L25" i="8"/>
  <c r="M25" i="8"/>
  <c r="K32" i="8"/>
  <c r="K31" i="8"/>
  <c r="K30" i="8"/>
  <c r="K29" i="8"/>
  <c r="K28" i="8"/>
  <c r="K27" i="8"/>
  <c r="K26" i="8"/>
  <c r="K25" i="8"/>
  <c r="L24" i="8"/>
  <c r="M24" i="8"/>
  <c r="K24" i="8"/>
  <c r="F33" i="8"/>
  <c r="C35" i="8" l="1"/>
  <c r="D35" i="8"/>
  <c r="E35" i="8"/>
  <c r="F35" i="8"/>
  <c r="G35" i="8"/>
  <c r="H35" i="8"/>
  <c r="I35" i="8"/>
  <c r="J35" i="8"/>
  <c r="K35" i="8"/>
  <c r="L35" i="8"/>
  <c r="B35" i="8"/>
  <c r="D34" i="8" l="1"/>
  <c r="E34" i="8"/>
  <c r="F34" i="8"/>
  <c r="G34" i="8"/>
  <c r="H34" i="8"/>
  <c r="I34" i="8"/>
  <c r="K34" i="8"/>
  <c r="C34" i="8"/>
  <c r="B34" i="8"/>
  <c r="B33" i="8"/>
  <c r="G7" i="5" l="1"/>
  <c r="G6" i="5"/>
  <c r="E10" i="4" l="1"/>
  <c r="E6" i="4"/>
  <c r="E4" i="4"/>
  <c r="E11" i="4"/>
  <c r="E7" i="4"/>
  <c r="E3" i="4"/>
  <c r="E12" i="4"/>
  <c r="E5" i="4"/>
  <c r="K10" i="5"/>
  <c r="I1" i="4" l="1"/>
  <c r="L4" i="6"/>
  <c r="L5" i="6"/>
  <c r="L6" i="6"/>
  <c r="L7" i="6"/>
  <c r="L8" i="6"/>
  <c r="L9" i="6"/>
  <c r="L10" i="6"/>
  <c r="L11" i="6"/>
  <c r="L12" i="6"/>
  <c r="L3" i="6"/>
  <c r="K3" i="6" l="1"/>
  <c r="J3" i="6"/>
  <c r="J10" i="5"/>
  <c r="J8" i="5"/>
  <c r="J9" i="5"/>
  <c r="G12" i="5"/>
  <c r="G5" i="5"/>
  <c r="G4" i="5"/>
  <c r="F12" i="5"/>
  <c r="F6" i="5"/>
  <c r="F5" i="5"/>
  <c r="F4" i="5"/>
  <c r="F3" i="5"/>
  <c r="E12" i="5"/>
  <c r="E11" i="5"/>
  <c r="E7" i="5"/>
  <c r="E6" i="5"/>
  <c r="E5" i="5"/>
  <c r="E4" i="5"/>
  <c r="E3" i="5"/>
  <c r="I33" i="8"/>
  <c r="H33" i="8"/>
  <c r="G33" i="8"/>
  <c r="E33" i="8"/>
  <c r="D33" i="8"/>
  <c r="C33" i="8"/>
  <c r="I32" i="8"/>
  <c r="H32" i="8"/>
  <c r="G32" i="8"/>
  <c r="F32" i="8"/>
  <c r="E32" i="8"/>
  <c r="D32" i="8"/>
  <c r="C32" i="8"/>
  <c r="B32" i="8"/>
  <c r="J31" i="8"/>
  <c r="H31" i="8"/>
  <c r="G31" i="8"/>
  <c r="F31" i="8"/>
  <c r="E31" i="8"/>
  <c r="C31" i="8"/>
  <c r="J30" i="8"/>
  <c r="I30" i="8"/>
  <c r="G30" i="8"/>
  <c r="F30" i="8"/>
  <c r="E30" i="8"/>
  <c r="D30" i="8"/>
  <c r="C30" i="8"/>
  <c r="B30" i="8"/>
  <c r="J29" i="8"/>
  <c r="I29" i="8"/>
  <c r="H29" i="8"/>
  <c r="F29" i="8"/>
  <c r="E29" i="8"/>
  <c r="D29" i="8"/>
  <c r="C29" i="8"/>
  <c r="B29" i="8"/>
  <c r="J28" i="8"/>
  <c r="H28" i="8"/>
  <c r="G28" i="8"/>
  <c r="E28" i="8"/>
  <c r="D28" i="8"/>
  <c r="C28" i="8"/>
  <c r="B28" i="8"/>
  <c r="J27" i="8"/>
  <c r="I27" i="8"/>
  <c r="H27" i="8"/>
  <c r="G27" i="8"/>
  <c r="F27" i="8"/>
  <c r="D27" i="8"/>
  <c r="C27" i="8"/>
  <c r="B27" i="8"/>
  <c r="J26" i="8"/>
  <c r="I26" i="8"/>
  <c r="H26" i="8"/>
  <c r="G26" i="8"/>
  <c r="F26" i="8"/>
  <c r="E26" i="8"/>
  <c r="C26" i="8"/>
  <c r="B26" i="8"/>
  <c r="J25" i="8"/>
  <c r="I25" i="8"/>
  <c r="H25" i="8"/>
  <c r="G25" i="8"/>
  <c r="F25" i="8"/>
  <c r="E25" i="8"/>
  <c r="D25" i="8"/>
  <c r="B25" i="8"/>
  <c r="G24" i="8"/>
  <c r="J24" i="8"/>
  <c r="I24" i="8"/>
  <c r="H24" i="8"/>
  <c r="F24" i="8"/>
  <c r="E24" i="8"/>
  <c r="D24" i="8"/>
  <c r="C24" i="8"/>
  <c r="C12" i="4" l="1"/>
  <c r="C4" i="4"/>
  <c r="C11" i="4"/>
  <c r="C7" i="4"/>
  <c r="C5" i="4"/>
  <c r="C10" i="4"/>
  <c r="C6" i="4"/>
  <c r="C3" i="4"/>
  <c r="G3" i="4" s="1"/>
  <c r="M3" i="6"/>
  <c r="P3" i="6" s="1"/>
  <c r="J12" i="7"/>
  <c r="B11" i="3" l="1"/>
  <c r="H227" i="9"/>
  <c r="H231" i="9"/>
  <c r="H243" i="9"/>
  <c r="G247" i="9"/>
  <c r="H247" i="9" s="1"/>
  <c r="F222" i="9"/>
  <c r="F223" i="9"/>
  <c r="F224" i="9"/>
  <c r="F225" i="9"/>
  <c r="F226" i="9"/>
  <c r="F227" i="9"/>
  <c r="F228" i="9"/>
  <c r="F229" i="9"/>
  <c r="F230" i="9"/>
  <c r="F231" i="9"/>
  <c r="F232" i="9"/>
  <c r="H232" i="9" s="1"/>
  <c r="F233" i="9"/>
  <c r="F234" i="9"/>
  <c r="F235" i="9"/>
  <c r="F236" i="9"/>
  <c r="H236" i="9" s="1"/>
  <c r="F237" i="9"/>
  <c r="F238" i="9"/>
  <c r="F239" i="9"/>
  <c r="F240" i="9"/>
  <c r="H240" i="9" s="1"/>
  <c r="F241" i="9"/>
  <c r="F242" i="9"/>
  <c r="F243" i="9"/>
  <c r="F244" i="9"/>
  <c r="H244" i="9" s="1"/>
  <c r="F245" i="9"/>
  <c r="F246" i="9"/>
  <c r="F247" i="9"/>
  <c r="F221" i="9"/>
  <c r="H221" i="9" s="1"/>
  <c r="E222" i="9"/>
  <c r="H222" i="9" s="1"/>
  <c r="E223" i="9"/>
  <c r="H223" i="9" s="1"/>
  <c r="E224" i="9"/>
  <c r="E225" i="9"/>
  <c r="E226" i="9"/>
  <c r="H226" i="9" s="1"/>
  <c r="E227" i="9"/>
  <c r="E228" i="9"/>
  <c r="E229" i="9"/>
  <c r="E230" i="9"/>
  <c r="E231" i="9"/>
  <c r="E232" i="9"/>
  <c r="E233" i="9"/>
  <c r="E234" i="9"/>
  <c r="H234" i="9" s="1"/>
  <c r="E235" i="9"/>
  <c r="H235" i="9" s="1"/>
  <c r="E236" i="9"/>
  <c r="E237" i="9"/>
  <c r="E238" i="9"/>
  <c r="H238" i="9" s="1"/>
  <c r="E239" i="9"/>
  <c r="H239" i="9" s="1"/>
  <c r="E240" i="9"/>
  <c r="E241" i="9"/>
  <c r="E242" i="9"/>
  <c r="H242" i="9" s="1"/>
  <c r="E243" i="9"/>
  <c r="E244" i="9"/>
  <c r="E245" i="9"/>
  <c r="E246" i="9"/>
  <c r="H246" i="9" s="1"/>
  <c r="E247" i="9"/>
  <c r="E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C247" i="9"/>
  <c r="D221" i="9"/>
  <c r="H241" i="9" l="1"/>
  <c r="H233" i="9"/>
  <c r="H228" i="9"/>
  <c r="H224" i="9"/>
  <c r="H245" i="9"/>
  <c r="H237" i="9"/>
  <c r="H229" i="9"/>
  <c r="H225" i="9"/>
  <c r="D11" i="3"/>
  <c r="F12" i="7" s="1"/>
  <c r="K12" i="6"/>
  <c r="O12" i="6" l="1"/>
  <c r="R12" i="6" s="1"/>
  <c r="N12" i="6"/>
  <c r="Q12" i="6" s="1"/>
  <c r="J12" i="5"/>
  <c r="J11" i="5"/>
  <c r="M12" i="6" l="1"/>
  <c r="P12" i="6" s="1"/>
  <c r="S12" i="6" s="1"/>
  <c r="K12" i="5"/>
  <c r="L12" i="5" s="1"/>
  <c r="T12" i="6" l="1"/>
  <c r="B31" i="8"/>
  <c r="E20" i="7" l="1"/>
  <c r="G230" i="9" s="1"/>
  <c r="H230" i="9" s="1"/>
  <c r="E21" i="7" l="1"/>
  <c r="C217" i="9"/>
  <c r="C213" i="9"/>
  <c r="C209" i="9"/>
  <c r="C179" i="9"/>
  <c r="C149" i="9"/>
  <c r="C119" i="9"/>
  <c r="C89" i="9"/>
  <c r="C59" i="9"/>
  <c r="C29" i="9"/>
  <c r="E2" i="3"/>
  <c r="K11" i="6" l="1"/>
  <c r="J11" i="6"/>
  <c r="J6" i="5"/>
  <c r="J5" i="5"/>
  <c r="J4" i="5"/>
  <c r="J3" i="5"/>
  <c r="K4" i="5"/>
  <c r="L4" i="5" s="1"/>
  <c r="K3" i="5"/>
  <c r="L3" i="5" s="1"/>
  <c r="I8" i="5" l="1"/>
  <c r="I9" i="5"/>
  <c r="E8" i="5" l="1"/>
  <c r="E9" i="5"/>
  <c r="J7" i="5"/>
  <c r="C3" i="3" l="1"/>
  <c r="C4" i="3"/>
  <c r="C5" i="3"/>
  <c r="C6" i="3"/>
  <c r="C7" i="3"/>
  <c r="C8" i="3"/>
  <c r="C9" i="3"/>
  <c r="C10" i="3"/>
  <c r="C2" i="3"/>
  <c r="J11" i="7"/>
  <c r="K11" i="5" l="1"/>
  <c r="M11" i="6" l="1"/>
  <c r="P11" i="6" s="1"/>
  <c r="S11" i="6" s="1"/>
  <c r="T11" i="6" s="1"/>
  <c r="E10" i="3"/>
  <c r="F11" i="7" s="1"/>
  <c r="F217" i="9"/>
  <c r="E217" i="9"/>
  <c r="D217" i="9"/>
  <c r="H217" i="9" l="1"/>
  <c r="F179" i="9" l="1"/>
  <c r="E179" i="9"/>
  <c r="D179" i="9"/>
  <c r="H179" i="9" l="1"/>
  <c r="E9" i="3"/>
  <c r="F10" i="7" s="1"/>
  <c r="J10" i="7"/>
  <c r="E209" i="9" l="1"/>
  <c r="D209" i="9"/>
  <c r="F149" i="9"/>
  <c r="E149" i="9"/>
  <c r="D149" i="9"/>
  <c r="D119" i="9"/>
  <c r="E119" i="9"/>
  <c r="F119" i="9"/>
  <c r="E89" i="9"/>
  <c r="D59" i="9"/>
  <c r="E59" i="9"/>
  <c r="F59" i="9"/>
  <c r="D29" i="9"/>
  <c r="E29" i="9"/>
  <c r="F29" i="9"/>
  <c r="H149" i="9" l="1"/>
  <c r="D89" i="9"/>
  <c r="H29" i="9"/>
  <c r="F89" i="9"/>
  <c r="H89" i="9" s="1"/>
  <c r="H119" i="9"/>
  <c r="H59" i="9"/>
  <c r="F209" i="9"/>
  <c r="H209" i="9" s="1"/>
  <c r="D31" i="8"/>
  <c r="I28" i="8"/>
  <c r="F213" i="9" l="1"/>
  <c r="E213" i="9"/>
  <c r="H213" i="9" s="1"/>
  <c r="D213" i="9"/>
  <c r="N7" i="6"/>
  <c r="M9" i="6"/>
  <c r="K10" i="6"/>
  <c r="J10" i="6"/>
  <c r="I10" i="5"/>
  <c r="G10" i="5" l="1"/>
  <c r="E10" i="5"/>
  <c r="F10" i="5"/>
  <c r="G10" i="4"/>
  <c r="J10" i="4" s="1"/>
  <c r="O10" i="6"/>
  <c r="R10" i="6" s="1"/>
  <c r="G11" i="4"/>
  <c r="J11" i="4" s="1"/>
  <c r="M10" i="6"/>
  <c r="P10" i="6" s="1"/>
  <c r="S10" i="6" s="1"/>
  <c r="N4" i="6"/>
  <c r="N5" i="6"/>
  <c r="N6" i="6"/>
  <c r="N3" i="6"/>
  <c r="O4" i="6"/>
  <c r="O5" i="6"/>
  <c r="O6" i="6"/>
  <c r="O7" i="6"/>
  <c r="O3" i="6"/>
  <c r="R3" i="6" s="1"/>
  <c r="M4" i="6"/>
  <c r="M5" i="6"/>
  <c r="M6" i="6"/>
  <c r="M7" i="6"/>
  <c r="M8" i="6"/>
  <c r="N10" i="6" l="1"/>
  <c r="Q10" i="6" s="1"/>
  <c r="G12" i="4"/>
  <c r="E8" i="3"/>
  <c r="F9" i="7" s="1"/>
  <c r="K6" i="5" l="1"/>
  <c r="L10" i="5" l="1"/>
  <c r="L6" i="5"/>
  <c r="T10" i="6"/>
  <c r="G11" i="7" l="1"/>
  <c r="H11" i="7" s="1"/>
  <c r="K11" i="7" s="1"/>
  <c r="K5" i="5"/>
  <c r="L5" i="5" s="1"/>
  <c r="J9" i="7" l="1"/>
  <c r="J8" i="7"/>
  <c r="J7" i="7"/>
  <c r="J6" i="7"/>
  <c r="J5" i="7"/>
  <c r="J4" i="7"/>
  <c r="J3" i="7"/>
  <c r="E3" i="3"/>
  <c r="F4" i="7" s="1"/>
  <c r="E4" i="3"/>
  <c r="F5" i="7" s="1"/>
  <c r="E5" i="3"/>
  <c r="F6" i="7" s="1"/>
  <c r="E6" i="3"/>
  <c r="F7" i="7" s="1"/>
  <c r="E7" i="3"/>
  <c r="F8" i="7" s="1"/>
  <c r="F3" i="7"/>
  <c r="F208" i="9" l="1"/>
  <c r="E208" i="9"/>
  <c r="D208" i="9"/>
  <c r="F207" i="9"/>
  <c r="E207" i="9"/>
  <c r="D207" i="9"/>
  <c r="F206" i="9"/>
  <c r="E206" i="9"/>
  <c r="D206" i="9"/>
  <c r="F205" i="9"/>
  <c r="E205" i="9"/>
  <c r="D205" i="9"/>
  <c r="F204" i="9"/>
  <c r="E204" i="9"/>
  <c r="D204" i="9"/>
  <c r="F203" i="9"/>
  <c r="E203" i="9"/>
  <c r="D203" i="9"/>
  <c r="F202" i="9"/>
  <c r="E202" i="9"/>
  <c r="D202" i="9"/>
  <c r="F201" i="9"/>
  <c r="E201" i="9"/>
  <c r="D201" i="9"/>
  <c r="F200" i="9"/>
  <c r="E200" i="9"/>
  <c r="D200" i="9"/>
  <c r="F199" i="9"/>
  <c r="E199" i="9"/>
  <c r="D199" i="9"/>
  <c r="F198" i="9"/>
  <c r="E198" i="9"/>
  <c r="D198" i="9"/>
  <c r="F197" i="9"/>
  <c r="E197" i="9"/>
  <c r="D197" i="9"/>
  <c r="F196" i="9"/>
  <c r="E196" i="9"/>
  <c r="D196" i="9"/>
  <c r="F195" i="9"/>
  <c r="E195" i="9"/>
  <c r="D195" i="9"/>
  <c r="F194" i="9"/>
  <c r="E194" i="9"/>
  <c r="D194" i="9"/>
  <c r="F193" i="9"/>
  <c r="E193" i="9"/>
  <c r="D193" i="9"/>
  <c r="F192" i="9"/>
  <c r="E192" i="9"/>
  <c r="D192" i="9"/>
  <c r="F191" i="9"/>
  <c r="E191" i="9"/>
  <c r="D191" i="9"/>
  <c r="F190" i="9"/>
  <c r="E190" i="9"/>
  <c r="D190" i="9"/>
  <c r="F189" i="9"/>
  <c r="E189" i="9"/>
  <c r="D189" i="9"/>
  <c r="F188" i="9"/>
  <c r="E188" i="9"/>
  <c r="D188" i="9"/>
  <c r="F187" i="9"/>
  <c r="E187" i="9"/>
  <c r="D187" i="9"/>
  <c r="F186" i="9"/>
  <c r="E186" i="9"/>
  <c r="D186" i="9"/>
  <c r="F185" i="9"/>
  <c r="E185" i="9"/>
  <c r="D185" i="9"/>
  <c r="F184" i="9"/>
  <c r="E184" i="9"/>
  <c r="D184" i="9"/>
  <c r="F183" i="9"/>
  <c r="E183" i="9"/>
  <c r="D183" i="9"/>
  <c r="H183" i="9" l="1"/>
  <c r="H187" i="9"/>
  <c r="H191" i="9"/>
  <c r="H195" i="9"/>
  <c r="H199" i="9"/>
  <c r="H185" i="9"/>
  <c r="H189" i="9"/>
  <c r="H193" i="9"/>
  <c r="H197" i="9"/>
  <c r="H201" i="9"/>
  <c r="H205" i="9"/>
  <c r="H184" i="9"/>
  <c r="H188" i="9"/>
  <c r="H192" i="9"/>
  <c r="H196" i="9"/>
  <c r="H200" i="9"/>
  <c r="H204" i="9"/>
  <c r="H208" i="9"/>
  <c r="H203" i="9"/>
  <c r="H207" i="9"/>
  <c r="H186" i="9"/>
  <c r="H190" i="9"/>
  <c r="H194" i="9"/>
  <c r="H198" i="9"/>
  <c r="H202" i="9"/>
  <c r="H206"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F153" i="9"/>
  <c r="E153" i="9"/>
  <c r="D153" i="9"/>
  <c r="F94" i="9"/>
  <c r="F95" i="9"/>
  <c r="F96" i="9"/>
  <c r="F97" i="9"/>
  <c r="F98" i="9"/>
  <c r="F99" i="9"/>
  <c r="F100" i="9"/>
  <c r="F101" i="9"/>
  <c r="F102" i="9"/>
  <c r="F103" i="9"/>
  <c r="F104" i="9"/>
  <c r="F105" i="9"/>
  <c r="F106" i="9"/>
  <c r="F107" i="9"/>
  <c r="F108" i="9"/>
  <c r="F109" i="9"/>
  <c r="F110" i="9"/>
  <c r="F111" i="9"/>
  <c r="F112" i="9"/>
  <c r="F113" i="9"/>
  <c r="F114" i="9"/>
  <c r="F115" i="9"/>
  <c r="F116" i="9"/>
  <c r="F117" i="9"/>
  <c r="F118" i="9"/>
  <c r="E94" i="9"/>
  <c r="E95" i="9"/>
  <c r="E96" i="9"/>
  <c r="E97" i="9"/>
  <c r="E98" i="9"/>
  <c r="E99" i="9"/>
  <c r="E100" i="9"/>
  <c r="E101" i="9"/>
  <c r="E102" i="9"/>
  <c r="E103" i="9"/>
  <c r="E104" i="9"/>
  <c r="E105" i="9"/>
  <c r="E106" i="9"/>
  <c r="E107" i="9"/>
  <c r="E108" i="9"/>
  <c r="E109" i="9"/>
  <c r="E110" i="9"/>
  <c r="E111" i="9"/>
  <c r="E112" i="9"/>
  <c r="E113" i="9"/>
  <c r="E114" i="9"/>
  <c r="E115" i="9"/>
  <c r="E116" i="9"/>
  <c r="E117" i="9"/>
  <c r="E118" i="9"/>
  <c r="D94" i="9"/>
  <c r="D95" i="9"/>
  <c r="D96" i="9"/>
  <c r="D97" i="9"/>
  <c r="D98" i="9"/>
  <c r="D99" i="9"/>
  <c r="D100" i="9"/>
  <c r="D101" i="9"/>
  <c r="D102" i="9"/>
  <c r="D103" i="9"/>
  <c r="D104" i="9"/>
  <c r="D105" i="9"/>
  <c r="D106" i="9"/>
  <c r="D107" i="9"/>
  <c r="D108" i="9"/>
  <c r="D109" i="9"/>
  <c r="D110" i="9"/>
  <c r="D111" i="9"/>
  <c r="D112" i="9"/>
  <c r="D113" i="9"/>
  <c r="D114" i="9"/>
  <c r="D115" i="9"/>
  <c r="D116" i="9"/>
  <c r="D117" i="9"/>
  <c r="D118" i="9"/>
  <c r="F64" i="9"/>
  <c r="F65" i="9"/>
  <c r="F66" i="9"/>
  <c r="F67" i="9"/>
  <c r="F68" i="9"/>
  <c r="F69" i="9"/>
  <c r="F70" i="9"/>
  <c r="F71" i="9"/>
  <c r="F72" i="9"/>
  <c r="F73" i="9"/>
  <c r="F74" i="9"/>
  <c r="F75" i="9"/>
  <c r="F76" i="9"/>
  <c r="F77" i="9"/>
  <c r="F78" i="9"/>
  <c r="F79" i="9"/>
  <c r="F80" i="9"/>
  <c r="F81" i="9"/>
  <c r="F82" i="9"/>
  <c r="F83" i="9"/>
  <c r="F84" i="9"/>
  <c r="F85" i="9"/>
  <c r="F86" i="9"/>
  <c r="F87" i="9"/>
  <c r="F88" i="9"/>
  <c r="E64" i="9"/>
  <c r="E65" i="9"/>
  <c r="E66" i="9"/>
  <c r="E67" i="9"/>
  <c r="E68" i="9"/>
  <c r="E69" i="9"/>
  <c r="E70" i="9"/>
  <c r="E71" i="9"/>
  <c r="E72" i="9"/>
  <c r="E73" i="9"/>
  <c r="E74" i="9"/>
  <c r="E75" i="9"/>
  <c r="E76" i="9"/>
  <c r="E77" i="9"/>
  <c r="E78" i="9"/>
  <c r="E79" i="9"/>
  <c r="E80" i="9"/>
  <c r="E81" i="9"/>
  <c r="E82" i="9"/>
  <c r="E83" i="9"/>
  <c r="E84" i="9"/>
  <c r="E85" i="9"/>
  <c r="E86" i="9"/>
  <c r="E87" i="9"/>
  <c r="E88" i="9"/>
  <c r="D64" i="9"/>
  <c r="D65" i="9"/>
  <c r="D66" i="9"/>
  <c r="D67" i="9"/>
  <c r="D68" i="9"/>
  <c r="D69" i="9"/>
  <c r="D70" i="9"/>
  <c r="D71" i="9"/>
  <c r="D72" i="9"/>
  <c r="D73" i="9"/>
  <c r="D74" i="9"/>
  <c r="D75" i="9"/>
  <c r="D76" i="9"/>
  <c r="D77" i="9"/>
  <c r="D78" i="9"/>
  <c r="D79" i="9"/>
  <c r="D80" i="9"/>
  <c r="D81" i="9"/>
  <c r="D82" i="9"/>
  <c r="D83" i="9"/>
  <c r="D84" i="9"/>
  <c r="D85" i="9"/>
  <c r="D86" i="9"/>
  <c r="D87" i="9"/>
  <c r="D88" i="9"/>
  <c r="F34" i="9"/>
  <c r="F35" i="9"/>
  <c r="F36" i="9"/>
  <c r="F37" i="9"/>
  <c r="F38" i="9"/>
  <c r="F39" i="9"/>
  <c r="F40" i="9"/>
  <c r="F41" i="9"/>
  <c r="F42" i="9"/>
  <c r="F43" i="9"/>
  <c r="F44" i="9"/>
  <c r="F45" i="9"/>
  <c r="F46" i="9"/>
  <c r="F47" i="9"/>
  <c r="F48" i="9"/>
  <c r="F49" i="9"/>
  <c r="F50" i="9"/>
  <c r="F51" i="9"/>
  <c r="F52" i="9"/>
  <c r="F53" i="9"/>
  <c r="F54" i="9"/>
  <c r="F55" i="9"/>
  <c r="F56" i="9"/>
  <c r="F57" i="9"/>
  <c r="F58" i="9"/>
  <c r="E34" i="9"/>
  <c r="E35" i="9"/>
  <c r="E36" i="9"/>
  <c r="E37" i="9"/>
  <c r="E38" i="9"/>
  <c r="E39" i="9"/>
  <c r="E40" i="9"/>
  <c r="E41" i="9"/>
  <c r="E42" i="9"/>
  <c r="E43" i="9"/>
  <c r="E44" i="9"/>
  <c r="E45" i="9"/>
  <c r="E46" i="9"/>
  <c r="E47" i="9"/>
  <c r="E48" i="9"/>
  <c r="E49" i="9"/>
  <c r="E50" i="9"/>
  <c r="E51" i="9"/>
  <c r="E52" i="9"/>
  <c r="E53" i="9"/>
  <c r="E54" i="9"/>
  <c r="E55" i="9"/>
  <c r="E56" i="9"/>
  <c r="E57" i="9"/>
  <c r="E58" i="9"/>
  <c r="D34" i="9"/>
  <c r="D35" i="9"/>
  <c r="D36" i="9"/>
  <c r="D37" i="9"/>
  <c r="D38" i="9"/>
  <c r="D39" i="9"/>
  <c r="D40" i="9"/>
  <c r="D41" i="9"/>
  <c r="D42" i="9"/>
  <c r="D43" i="9"/>
  <c r="D44" i="9"/>
  <c r="D45" i="9"/>
  <c r="D46" i="9"/>
  <c r="D47" i="9"/>
  <c r="D48" i="9"/>
  <c r="D49" i="9"/>
  <c r="D50" i="9"/>
  <c r="D51" i="9"/>
  <c r="D52" i="9"/>
  <c r="D53" i="9"/>
  <c r="D54" i="9"/>
  <c r="D55" i="9"/>
  <c r="D56" i="9"/>
  <c r="D57" i="9"/>
  <c r="D58" i="9"/>
  <c r="F4" i="9"/>
  <c r="F5" i="9"/>
  <c r="F6" i="9"/>
  <c r="F7" i="9"/>
  <c r="F8" i="9"/>
  <c r="F9" i="9"/>
  <c r="F10" i="9"/>
  <c r="F11" i="9"/>
  <c r="F12" i="9"/>
  <c r="F13" i="9"/>
  <c r="F14" i="9"/>
  <c r="F15" i="9"/>
  <c r="F16" i="9"/>
  <c r="F17" i="9"/>
  <c r="F18" i="9"/>
  <c r="F19" i="9"/>
  <c r="F20" i="9"/>
  <c r="F21" i="9"/>
  <c r="F22" i="9"/>
  <c r="F23" i="9"/>
  <c r="F24" i="9"/>
  <c r="F25" i="9"/>
  <c r="F26" i="9"/>
  <c r="F27" i="9"/>
  <c r="F28" i="9"/>
  <c r="E4" i="9"/>
  <c r="E5" i="9"/>
  <c r="E6" i="9"/>
  <c r="E7" i="9"/>
  <c r="E8" i="9"/>
  <c r="E9" i="9"/>
  <c r="E10" i="9"/>
  <c r="E11" i="9"/>
  <c r="E12" i="9"/>
  <c r="E13" i="9"/>
  <c r="E14" i="9"/>
  <c r="E15" i="9"/>
  <c r="E16" i="9"/>
  <c r="E17" i="9"/>
  <c r="E18" i="9"/>
  <c r="E19" i="9"/>
  <c r="E20" i="9"/>
  <c r="E21" i="9"/>
  <c r="E22" i="9"/>
  <c r="E23" i="9"/>
  <c r="E24" i="9"/>
  <c r="E25" i="9"/>
  <c r="E26" i="9"/>
  <c r="E27" i="9"/>
  <c r="E28" i="9"/>
  <c r="D4" i="9"/>
  <c r="D5" i="9"/>
  <c r="D6" i="9"/>
  <c r="D7" i="9"/>
  <c r="D8" i="9"/>
  <c r="D9" i="9"/>
  <c r="D10" i="9"/>
  <c r="D11" i="9"/>
  <c r="D12" i="9"/>
  <c r="D13" i="9"/>
  <c r="D14" i="9"/>
  <c r="D15" i="9"/>
  <c r="D16" i="9"/>
  <c r="D17" i="9"/>
  <c r="D18" i="9"/>
  <c r="D19" i="9"/>
  <c r="D20" i="9"/>
  <c r="D21" i="9"/>
  <c r="D22" i="9"/>
  <c r="D23" i="9"/>
  <c r="D24" i="9"/>
  <c r="D25" i="9"/>
  <c r="D26" i="9"/>
  <c r="D27" i="9"/>
  <c r="D28" i="9"/>
  <c r="H49" i="9" l="1"/>
  <c r="H26" i="9"/>
  <c r="H22" i="9"/>
  <c r="H18" i="9"/>
  <c r="H14" i="9"/>
  <c r="H10" i="9"/>
  <c r="H6" i="9"/>
  <c r="H55" i="9"/>
  <c r="H51" i="9"/>
  <c r="H47" i="9"/>
  <c r="H43" i="9"/>
  <c r="H39" i="9"/>
  <c r="H35" i="9"/>
  <c r="H88" i="9"/>
  <c r="H84" i="9"/>
  <c r="H80" i="9"/>
  <c r="H76" i="9"/>
  <c r="H72" i="9"/>
  <c r="H68" i="9"/>
  <c r="H64" i="9"/>
  <c r="H117" i="9"/>
  <c r="H113" i="9"/>
  <c r="H109" i="9"/>
  <c r="H105" i="9"/>
  <c r="H101" i="9"/>
  <c r="H97" i="9"/>
  <c r="H145" i="9"/>
  <c r="H141" i="9"/>
  <c r="H137" i="9"/>
  <c r="H133" i="9"/>
  <c r="H129" i="9"/>
  <c r="H125" i="9"/>
  <c r="H174" i="9"/>
  <c r="H166" i="9"/>
  <c r="H162" i="9"/>
  <c r="H158" i="9"/>
  <c r="H115" i="9"/>
  <c r="H99" i="9"/>
  <c r="H177" i="9"/>
  <c r="H173" i="9"/>
  <c r="H169" i="9"/>
  <c r="H146" i="9"/>
  <c r="H134" i="9"/>
  <c r="H126" i="9"/>
  <c r="H142" i="9"/>
  <c r="H138" i="9"/>
  <c r="H130" i="9"/>
  <c r="H28" i="9"/>
  <c r="H24" i="9"/>
  <c r="H20" i="9"/>
  <c r="H16" i="9"/>
  <c r="H12" i="9"/>
  <c r="H8" i="9"/>
  <c r="H4" i="9"/>
  <c r="H57" i="9"/>
  <c r="H53" i="9"/>
  <c r="H45" i="9"/>
  <c r="H41" i="9"/>
  <c r="H37" i="9"/>
  <c r="H86" i="9"/>
  <c r="H82" i="9"/>
  <c r="H78" i="9"/>
  <c r="H74" i="9"/>
  <c r="H70" i="9"/>
  <c r="H66" i="9"/>
  <c r="H111" i="9"/>
  <c r="H107" i="9"/>
  <c r="H103" i="9"/>
  <c r="H95" i="9"/>
  <c r="H147" i="9"/>
  <c r="H143" i="9"/>
  <c r="H139" i="9"/>
  <c r="H135" i="9"/>
  <c r="H131" i="9"/>
  <c r="H127" i="9"/>
  <c r="H176" i="9"/>
  <c r="H172" i="9"/>
  <c r="H168" i="9"/>
  <c r="H164" i="9"/>
  <c r="H160" i="9"/>
  <c r="H156" i="9"/>
  <c r="H178" i="9"/>
  <c r="H170" i="9"/>
  <c r="H165" i="9"/>
  <c r="H161" i="9"/>
  <c r="H157" i="9"/>
  <c r="H154" i="9"/>
  <c r="H25" i="9"/>
  <c r="H21" i="9"/>
  <c r="H17" i="9"/>
  <c r="H13" i="9"/>
  <c r="H9" i="9"/>
  <c r="H5" i="9"/>
  <c r="H58" i="9"/>
  <c r="H54" i="9"/>
  <c r="H50" i="9"/>
  <c r="H46" i="9"/>
  <c r="H42" i="9"/>
  <c r="H38" i="9"/>
  <c r="H34" i="9"/>
  <c r="H87" i="9"/>
  <c r="H83" i="9"/>
  <c r="H79" i="9"/>
  <c r="H75" i="9"/>
  <c r="H71" i="9"/>
  <c r="H67" i="9"/>
  <c r="H116" i="9"/>
  <c r="H112" i="9"/>
  <c r="H108" i="9"/>
  <c r="H104" i="9"/>
  <c r="H100" i="9"/>
  <c r="H96" i="9"/>
  <c r="H148" i="9"/>
  <c r="H144" i="9"/>
  <c r="H140" i="9"/>
  <c r="H136" i="9"/>
  <c r="H132" i="9"/>
  <c r="H128" i="9"/>
  <c r="H124" i="9"/>
  <c r="H27" i="9"/>
  <c r="H23" i="9"/>
  <c r="H19" i="9"/>
  <c r="H15" i="9"/>
  <c r="H11" i="9"/>
  <c r="H7" i="9"/>
  <c r="H56" i="9"/>
  <c r="H52" i="9"/>
  <c r="H48" i="9"/>
  <c r="H44" i="9"/>
  <c r="H40" i="9"/>
  <c r="H36" i="9"/>
  <c r="H85" i="9"/>
  <c r="H81" i="9"/>
  <c r="H77" i="9"/>
  <c r="H73" i="9"/>
  <c r="H69" i="9"/>
  <c r="H65" i="9"/>
  <c r="H118" i="9"/>
  <c r="H114" i="9"/>
  <c r="H110" i="9"/>
  <c r="H106" i="9"/>
  <c r="H102" i="9"/>
  <c r="H98" i="9"/>
  <c r="H94" i="9"/>
  <c r="H175" i="9"/>
  <c r="H171" i="9"/>
  <c r="H167" i="9"/>
  <c r="H163" i="9"/>
  <c r="H159" i="9"/>
  <c r="H155" i="9"/>
  <c r="H153" i="9"/>
  <c r="F123" i="9"/>
  <c r="E123" i="9"/>
  <c r="D123" i="9"/>
  <c r="F93" i="9"/>
  <c r="E93" i="9"/>
  <c r="D93" i="9"/>
  <c r="F63" i="9"/>
  <c r="E63" i="9"/>
  <c r="D63" i="9"/>
  <c r="F33" i="9"/>
  <c r="D33" i="9"/>
  <c r="F3" i="9"/>
  <c r="E3" i="9"/>
  <c r="D3" i="9"/>
  <c r="H3" i="9" l="1"/>
  <c r="H93" i="9"/>
  <c r="H123" i="9"/>
  <c r="H63" i="9"/>
  <c r="E33" i="9"/>
  <c r="H33" i="9" s="1"/>
  <c r="R4" i="6" l="1"/>
  <c r="R5" i="6"/>
  <c r="R6" i="6"/>
  <c r="R7" i="6"/>
  <c r="K4" i="6"/>
  <c r="Q4" i="6" s="1"/>
  <c r="K5" i="6"/>
  <c r="Q5" i="6" s="1"/>
  <c r="K6" i="6"/>
  <c r="Q6" i="6" s="1"/>
  <c r="K7" i="6"/>
  <c r="Q7" i="6" s="1"/>
  <c r="K8" i="6"/>
  <c r="K9" i="6"/>
  <c r="Q3" i="6"/>
  <c r="J4" i="6"/>
  <c r="J5" i="6"/>
  <c r="J6" i="6"/>
  <c r="J7" i="6"/>
  <c r="J8" i="6"/>
  <c r="P8" i="6" s="1"/>
  <c r="J9" i="6"/>
  <c r="J12" i="4"/>
  <c r="G12" i="7" s="1"/>
  <c r="H12" i="7" s="1"/>
  <c r="K12" i="7" s="1"/>
  <c r="S8" i="6" l="1"/>
  <c r="T8" i="6" s="1"/>
  <c r="G8" i="4"/>
  <c r="J8" i="4" s="1"/>
  <c r="P5" i="6"/>
  <c r="S5" i="6" s="1"/>
  <c r="T5" i="6" s="1"/>
  <c r="G5" i="4"/>
  <c r="G4" i="4"/>
  <c r="P4" i="6"/>
  <c r="S4" i="6" s="1"/>
  <c r="P7" i="6"/>
  <c r="S7" i="6" s="1"/>
  <c r="T7" i="6" s="1"/>
  <c r="G7" i="4"/>
  <c r="G9" i="4"/>
  <c r="J9" i="4" s="1"/>
  <c r="P9" i="6"/>
  <c r="S9" i="6" s="1"/>
  <c r="T9" i="6" s="1"/>
  <c r="S3" i="6"/>
  <c r="T3" i="6" s="1"/>
  <c r="P6" i="6"/>
  <c r="S6" i="6" s="1"/>
  <c r="T6" i="6" s="1"/>
  <c r="G6" i="4"/>
  <c r="G10" i="7"/>
  <c r="H10" i="7" s="1"/>
  <c r="K10" i="7" s="1"/>
  <c r="T4" i="6"/>
  <c r="J5" i="4" l="1"/>
  <c r="G5" i="7" s="1"/>
  <c r="H5" i="7" s="1"/>
  <c r="K5" i="7" s="1"/>
  <c r="J4" i="4"/>
  <c r="G4" i="7" s="1"/>
  <c r="H4" i="7" s="1"/>
  <c r="K4" i="7" s="1"/>
  <c r="J6" i="4"/>
  <c r="G6" i="7" s="1"/>
  <c r="J3" i="4"/>
  <c r="G3" i="7" s="1"/>
  <c r="H3" i="7" s="1"/>
  <c r="K3" i="7" s="1"/>
  <c r="J7" i="4"/>
  <c r="G7" i="7" s="1"/>
  <c r="H7" i="7" s="1"/>
  <c r="K7" i="7" s="1"/>
  <c r="G9" i="7" l="1"/>
  <c r="H9" i="7" s="1"/>
  <c r="K9" i="7" s="1"/>
  <c r="G8" i="7"/>
  <c r="H8" i="7" s="1"/>
  <c r="K8" i="7" s="1"/>
  <c r="H6" i="7"/>
  <c r="K6" i="7" s="1"/>
</calcChain>
</file>

<file path=xl/comments1.xml><?xml version="1.0" encoding="utf-8"?>
<comments xmlns="http://schemas.openxmlformats.org/spreadsheetml/2006/main">
  <authors>
    <author>Utilizador</author>
    <author>Metalurgica do Levira, S.A.</author>
  </authors>
  <commentList>
    <comment ref="J2" authorId="0" shapeId="0">
      <text>
        <r>
          <rPr>
            <b/>
            <sz val="8"/>
            <color indexed="81"/>
            <rFont val="Tahoma"/>
            <family val="2"/>
          </rPr>
          <t xml:space="preserve">
Fundiven:
</t>
        </r>
        <r>
          <rPr>
            <sz val="8"/>
            <color indexed="81"/>
            <rFont val="Tahoma"/>
            <family val="2"/>
          </rPr>
          <t xml:space="preserve">
Entrada em funcionamento a 14/02/2018</t>
        </r>
      </text>
    </comment>
    <comment ref="A3" authorId="0" shapeId="0">
      <text>
        <r>
          <rPr>
            <b/>
            <sz val="8"/>
            <color indexed="81"/>
            <rFont val="Tahoma"/>
            <family val="2"/>
          </rPr>
          <t xml:space="preserve">
Fundiven:
</t>
        </r>
        <r>
          <rPr>
            <sz val="8"/>
            <color indexed="81"/>
            <rFont val="Tahoma"/>
            <family val="2"/>
          </rPr>
          <t xml:space="preserve">
n.º cadastro 1532</t>
        </r>
      </text>
    </comment>
    <comment ref="A4"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5" authorId="0" shapeId="0">
      <text>
        <r>
          <rPr>
            <b/>
            <sz val="8"/>
            <color indexed="81"/>
            <rFont val="Tahoma"/>
            <family val="2"/>
          </rPr>
          <t xml:space="preserve">
Fundiven:
</t>
        </r>
        <r>
          <rPr>
            <sz val="8"/>
            <color indexed="81"/>
            <rFont val="Tahoma"/>
            <family val="2"/>
          </rPr>
          <t xml:space="preserve">
 n.º cadastro 9401</t>
        </r>
      </text>
    </comment>
    <comment ref="A6" authorId="0" shapeId="0">
      <text>
        <r>
          <rPr>
            <b/>
            <sz val="8"/>
            <color indexed="81"/>
            <rFont val="Tahoma"/>
            <family val="2"/>
          </rPr>
          <t xml:space="preserve">
Fundiven:
</t>
        </r>
        <r>
          <rPr>
            <sz val="8"/>
            <color indexed="81"/>
            <rFont val="Tahoma"/>
            <family val="2"/>
          </rPr>
          <t xml:space="preserve">
 n.º cadastro 10995</t>
        </r>
      </text>
    </comment>
    <comment ref="A7" authorId="0" shapeId="0">
      <text>
        <r>
          <rPr>
            <b/>
            <sz val="8"/>
            <color indexed="81"/>
            <rFont val="Tahoma"/>
            <family val="2"/>
          </rPr>
          <t xml:space="preserve">
Fundiven:
</t>
        </r>
        <r>
          <rPr>
            <sz val="8"/>
            <color indexed="81"/>
            <rFont val="Tahoma"/>
            <family val="2"/>
          </rPr>
          <t xml:space="preserve">
 n.º cadastro 9402</t>
        </r>
      </text>
    </comment>
    <comment ref="A8" authorId="0" shapeId="0">
      <text>
        <r>
          <rPr>
            <b/>
            <sz val="8"/>
            <color indexed="81"/>
            <rFont val="Tahoma"/>
            <family val="2"/>
          </rPr>
          <t xml:space="preserve">
Fundiven:
</t>
        </r>
        <r>
          <rPr>
            <sz val="8"/>
            <color indexed="81"/>
            <rFont val="Tahoma"/>
            <family val="2"/>
          </rPr>
          <t xml:space="preserve">
 n.º cadastro 10475</t>
        </r>
      </text>
    </comment>
    <comment ref="A9" authorId="0" shapeId="0">
      <text>
        <r>
          <rPr>
            <b/>
            <sz val="8"/>
            <color indexed="81"/>
            <rFont val="Tahoma"/>
            <family val="2"/>
          </rPr>
          <t xml:space="preserve">
Fundiven:
</t>
        </r>
        <r>
          <rPr>
            <sz val="8"/>
            <color indexed="81"/>
            <rFont val="Tahoma"/>
            <family val="2"/>
          </rPr>
          <t xml:space="preserve">
n.º cadastro 10474</t>
        </r>
      </text>
    </comment>
    <comment ref="A10"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11" authorId="0" shapeId="0">
      <text>
        <r>
          <rPr>
            <b/>
            <sz val="8"/>
            <color indexed="81"/>
            <rFont val="Tahoma"/>
            <family val="2"/>
          </rPr>
          <t xml:space="preserve">
Fundiven:
</t>
        </r>
        <r>
          <rPr>
            <sz val="8"/>
            <color indexed="81"/>
            <rFont val="Tahoma"/>
            <family val="2"/>
          </rPr>
          <t xml:space="preserve">
nº de cadastro 12853</t>
        </r>
      </text>
    </comment>
    <comment ref="N17" authorId="1" shapeId="0">
      <text>
        <r>
          <rPr>
            <b/>
            <sz val="8"/>
            <color indexed="81"/>
            <rFont val="Tahoma"/>
            <family val="2"/>
          </rPr>
          <t xml:space="preserve">
Fundiven:
</t>
        </r>
        <r>
          <rPr>
            <sz val="8"/>
            <color indexed="81"/>
            <rFont val="Tahoma"/>
            <family val="2"/>
          </rPr>
          <t xml:space="preserve">
Tem de se verificar os três fatores em simultâneo, sendo I e J duas Chaminés</t>
        </r>
      </text>
    </comment>
    <comment ref="A24" authorId="0" shapeId="0">
      <text>
        <r>
          <rPr>
            <b/>
            <sz val="8"/>
            <color indexed="81"/>
            <rFont val="Tahoma"/>
            <family val="2"/>
          </rPr>
          <t xml:space="preserve">
Fundiven:
</t>
        </r>
        <r>
          <rPr>
            <sz val="8"/>
            <color indexed="81"/>
            <rFont val="Tahoma"/>
            <family val="2"/>
          </rPr>
          <t xml:space="preserve">
n.º cadastro 1532</t>
        </r>
      </text>
    </comment>
    <comment ref="A25"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26" authorId="0" shapeId="0">
      <text>
        <r>
          <rPr>
            <b/>
            <sz val="8"/>
            <color indexed="81"/>
            <rFont val="Tahoma"/>
            <family val="2"/>
          </rPr>
          <t xml:space="preserve">
Fundiven:
</t>
        </r>
        <r>
          <rPr>
            <sz val="8"/>
            <color indexed="81"/>
            <rFont val="Tahoma"/>
            <family val="2"/>
          </rPr>
          <t xml:space="preserve">
 n.º cadastro 9401</t>
        </r>
      </text>
    </comment>
    <comment ref="A27" authorId="0" shapeId="0">
      <text>
        <r>
          <rPr>
            <b/>
            <sz val="8"/>
            <color indexed="81"/>
            <rFont val="Tahoma"/>
            <family val="2"/>
          </rPr>
          <t xml:space="preserve">
Fundiven:
</t>
        </r>
        <r>
          <rPr>
            <sz val="8"/>
            <color indexed="81"/>
            <rFont val="Tahoma"/>
            <family val="2"/>
          </rPr>
          <t xml:space="preserve">
 n.º cadastro 10995</t>
        </r>
      </text>
    </comment>
    <comment ref="A28" authorId="0" shapeId="0">
      <text>
        <r>
          <rPr>
            <b/>
            <sz val="8"/>
            <color indexed="81"/>
            <rFont val="Tahoma"/>
            <family val="2"/>
          </rPr>
          <t xml:space="preserve">
Fundiven:
</t>
        </r>
        <r>
          <rPr>
            <sz val="8"/>
            <color indexed="81"/>
            <rFont val="Tahoma"/>
            <family val="2"/>
          </rPr>
          <t xml:space="preserve">
 n.º cadastro 9402</t>
        </r>
      </text>
    </comment>
    <comment ref="A29" authorId="0" shapeId="0">
      <text>
        <r>
          <rPr>
            <b/>
            <sz val="8"/>
            <color indexed="81"/>
            <rFont val="Tahoma"/>
            <family val="2"/>
          </rPr>
          <t xml:space="preserve">
Fundiven:
</t>
        </r>
        <r>
          <rPr>
            <sz val="8"/>
            <color indexed="81"/>
            <rFont val="Tahoma"/>
            <family val="2"/>
          </rPr>
          <t xml:space="preserve">
 n.º cadastro 10475</t>
        </r>
      </text>
    </comment>
    <comment ref="A30" authorId="0" shapeId="0">
      <text>
        <r>
          <rPr>
            <b/>
            <sz val="8"/>
            <color indexed="81"/>
            <rFont val="Tahoma"/>
            <family val="2"/>
          </rPr>
          <t xml:space="preserve">
Fundiven:
</t>
        </r>
        <r>
          <rPr>
            <sz val="8"/>
            <color indexed="81"/>
            <rFont val="Tahoma"/>
            <family val="2"/>
          </rPr>
          <t xml:space="preserve">
n.º cadastro 10474</t>
        </r>
      </text>
    </comment>
    <comment ref="A31"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32" authorId="0" shapeId="0">
      <text>
        <r>
          <rPr>
            <b/>
            <sz val="8"/>
            <color indexed="81"/>
            <rFont val="Tahoma"/>
            <family val="2"/>
          </rPr>
          <t xml:space="preserve">
Fundiven:
</t>
        </r>
        <r>
          <rPr>
            <sz val="8"/>
            <color indexed="81"/>
            <rFont val="Tahoma"/>
            <family val="2"/>
          </rPr>
          <t xml:space="preserve">
nº de cadastro 12853</t>
        </r>
      </text>
    </comment>
  </commentList>
</comments>
</file>

<file path=xl/comments2.xml><?xml version="1.0" encoding="utf-8"?>
<comments xmlns="http://schemas.openxmlformats.org/spreadsheetml/2006/main">
  <authors>
    <author>Utilizador</author>
    <author>Metalurgica do Levira, S.A.</author>
    <author>FFigueiredo</author>
    <author>Filipa</author>
  </authors>
  <commentList>
    <comment ref="B1" authorId="0" shapeId="0">
      <text>
        <r>
          <rPr>
            <b/>
            <sz val="8"/>
            <color indexed="81"/>
            <rFont val="Tahoma"/>
            <family val="2"/>
          </rPr>
          <t xml:space="preserve">
Fundiven:
</t>
        </r>
        <r>
          <rPr>
            <sz val="8"/>
            <color indexed="81"/>
            <rFont val="Tahoma"/>
            <family val="2"/>
          </rPr>
          <t xml:space="preserve">
VEA - BREF's
VLE - Quadro 1, parte A do Anexo da Portaria 675/2009 (23/06)</t>
        </r>
      </text>
    </comment>
    <comment ref="C1" authorId="0" shapeId="0">
      <text>
        <r>
          <rPr>
            <b/>
            <sz val="9"/>
            <color indexed="81"/>
            <rFont val="Tahoma"/>
            <family val="2"/>
          </rPr>
          <t xml:space="preserve">
</t>
        </r>
        <r>
          <rPr>
            <b/>
            <sz val="8"/>
            <color indexed="81"/>
            <rFont val="Tahoma"/>
            <family val="2"/>
          </rPr>
          <t xml:space="preserve">Fundiven:
</t>
        </r>
        <r>
          <rPr>
            <sz val="8"/>
            <color indexed="81"/>
            <rFont val="Tahoma"/>
            <family val="2"/>
          </rPr>
          <t>VEA - BREF SF 
Shaft furnace, considerando o pior cenário (30-50)
VLE - Quadro 1, parte A do Anexo da Portaria 675/2009 (23/06)</t>
        </r>
        <r>
          <rPr>
            <sz val="9"/>
            <color indexed="81"/>
            <rFont val="Tahoma"/>
            <family val="2"/>
          </rPr>
          <t xml:space="preserve">
</t>
        </r>
      </text>
    </comment>
    <comment ref="D1"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VEA - BREF SF
Shaft furnace, considerando o pior cenário (30-50)
VLE - Quadro 1, parte A do Anexo da Portaria 675/2009 (23/06)</t>
        </r>
      </text>
    </comment>
    <comment ref="I1"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Caudal nominal fornecido pelos contrutores</t>
        </r>
      </text>
    </comment>
    <comment ref="J1" authorId="1" shapeId="0">
      <text>
        <r>
          <rPr>
            <b/>
            <sz val="8"/>
            <color indexed="81"/>
            <rFont val="Tahoma"/>
            <family val="2"/>
          </rPr>
          <t xml:space="preserve">
Fundiven:
</t>
        </r>
        <r>
          <rPr>
            <sz val="8"/>
            <color indexed="81"/>
            <rFont val="Tahoma"/>
            <family val="2"/>
          </rPr>
          <t xml:space="preserve">
Temperatura média anual da região - segundo EIA temperatura média anual: 15,1ºC</t>
        </r>
      </text>
    </comment>
    <comment ref="K1" authorId="1" shapeId="0">
      <text>
        <r>
          <rPr>
            <b/>
            <sz val="8"/>
            <color indexed="81"/>
            <rFont val="Tahoma"/>
            <family val="2"/>
          </rPr>
          <t xml:space="preserve">
Fundiven:
</t>
        </r>
        <r>
          <rPr>
            <sz val="8"/>
            <color indexed="81"/>
            <rFont val="Tahoma"/>
            <family val="2"/>
          </rPr>
          <t xml:space="preserve">
Temperatura teóricas de acordo com dados dos forncedeores</t>
        </r>
      </text>
    </comment>
    <comment ref="L1" authorId="1" shapeId="0">
      <text>
        <r>
          <rPr>
            <b/>
            <sz val="8"/>
            <color indexed="81"/>
            <rFont val="Tahoma"/>
            <family val="2"/>
          </rPr>
          <t xml:space="preserve">
Fundiven:
</t>
        </r>
        <r>
          <rPr>
            <sz val="8"/>
            <color indexed="81"/>
            <rFont val="Tahoma"/>
            <family val="2"/>
          </rPr>
          <t xml:space="preserve">
Conversão de ºC para K</t>
        </r>
      </text>
    </comment>
    <comment ref="A3" authorId="0" shapeId="0">
      <text>
        <r>
          <rPr>
            <b/>
            <sz val="8"/>
            <color indexed="81"/>
            <rFont val="Tahoma"/>
            <family val="2"/>
          </rPr>
          <t xml:space="preserve">
Fundiven:
</t>
        </r>
        <r>
          <rPr>
            <sz val="8"/>
            <color indexed="81"/>
            <rFont val="Tahoma"/>
            <family val="2"/>
          </rPr>
          <t xml:space="preserve">
n.º cadastro 1532</t>
        </r>
      </text>
    </comment>
    <comment ref="A4"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5" authorId="0" shapeId="0">
      <text>
        <r>
          <rPr>
            <b/>
            <sz val="8"/>
            <color indexed="81"/>
            <rFont val="Tahoma"/>
            <family val="2"/>
          </rPr>
          <t xml:space="preserve">
Fundiven:
</t>
        </r>
        <r>
          <rPr>
            <sz val="8"/>
            <color indexed="81"/>
            <rFont val="Tahoma"/>
            <family val="2"/>
          </rPr>
          <t xml:space="preserve">
 n.º cadastro 9401</t>
        </r>
      </text>
    </comment>
    <comment ref="A6" authorId="0" shapeId="0">
      <text>
        <r>
          <rPr>
            <b/>
            <sz val="8"/>
            <color indexed="81"/>
            <rFont val="Tahoma"/>
            <family val="2"/>
          </rPr>
          <t xml:space="preserve">
Fundiven:
</t>
        </r>
        <r>
          <rPr>
            <sz val="8"/>
            <color indexed="81"/>
            <rFont val="Tahoma"/>
            <family val="2"/>
          </rPr>
          <t xml:space="preserve">
 n.º cadastro 10995</t>
        </r>
      </text>
    </comment>
    <comment ref="I6" authorId="0" shapeId="0">
      <text>
        <r>
          <rPr>
            <b/>
            <sz val="8"/>
            <color indexed="81"/>
            <rFont val="Tahoma"/>
            <family val="2"/>
          </rPr>
          <t xml:space="preserve">
Fundiven:
</t>
        </r>
        <r>
          <rPr>
            <sz val="8"/>
            <color indexed="81"/>
            <rFont val="Tahoma"/>
            <family val="2"/>
          </rPr>
          <t xml:space="preserve">
Valor dado pelo fornecedor.</t>
        </r>
      </text>
    </comment>
    <comment ref="K6" authorId="0" shapeId="0">
      <text>
        <r>
          <rPr>
            <b/>
            <sz val="9"/>
            <color indexed="81"/>
            <rFont val="Tahoma"/>
            <family val="2"/>
          </rPr>
          <t xml:space="preserve">
</t>
        </r>
        <r>
          <rPr>
            <b/>
            <sz val="8"/>
            <color indexed="81"/>
            <rFont val="Tahoma"/>
            <family val="2"/>
          </rPr>
          <t>Fundiven:</t>
        </r>
        <r>
          <rPr>
            <sz val="8"/>
            <color indexed="81"/>
            <rFont val="Tahoma"/>
            <family val="2"/>
          </rPr>
          <t xml:space="preserve">
Dado forneceido pelo fornecedor</t>
        </r>
      </text>
    </comment>
    <comment ref="A7" authorId="0" shapeId="0">
      <text>
        <r>
          <rPr>
            <b/>
            <sz val="8"/>
            <color indexed="81"/>
            <rFont val="Tahoma"/>
            <family val="2"/>
          </rPr>
          <t xml:space="preserve">
Fundiven:
</t>
        </r>
        <r>
          <rPr>
            <sz val="8"/>
            <color indexed="81"/>
            <rFont val="Tahoma"/>
            <family val="2"/>
          </rPr>
          <t xml:space="preserve">
 n.º cadastro 9402</t>
        </r>
      </text>
    </comment>
    <comment ref="L7" authorId="2" shapeId="0">
      <text>
        <r>
          <rPr>
            <b/>
            <sz val="8"/>
            <color indexed="81"/>
            <rFont val="Tahoma"/>
            <family val="2"/>
          </rPr>
          <t xml:space="preserve">
Fundiven:
</t>
        </r>
        <r>
          <rPr>
            <sz val="8"/>
            <color indexed="81"/>
            <rFont val="Tahoma"/>
            <family val="2"/>
          </rPr>
          <t xml:space="preserve">
Portaria nº 190-A/2018
Anexo I, Parte 2</t>
        </r>
      </text>
    </comment>
    <comment ref="A8" authorId="0" shapeId="0">
      <text>
        <r>
          <rPr>
            <b/>
            <sz val="8"/>
            <color indexed="81"/>
            <rFont val="Tahoma"/>
            <family val="2"/>
          </rPr>
          <t xml:space="preserve">
Fundiven:
</t>
        </r>
        <r>
          <rPr>
            <sz val="8"/>
            <color indexed="81"/>
            <rFont val="Tahoma"/>
            <family val="2"/>
          </rPr>
          <t xml:space="preserve">
 n.º cadastro 10475</t>
        </r>
      </text>
    </comment>
    <comment ref="I8"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31 m</t>
        </r>
        <r>
          <rPr>
            <vertAlign val="superscript"/>
            <sz val="8"/>
            <color indexed="81"/>
            <rFont val="Tahoma"/>
            <family val="2"/>
          </rPr>
          <t>3</t>
        </r>
        <r>
          <rPr>
            <sz val="8"/>
            <color indexed="81"/>
            <rFont val="Tahoma"/>
            <family val="2"/>
          </rPr>
          <t>/min.</t>
        </r>
      </text>
    </comment>
    <comment ref="L8" authorId="2" shapeId="0">
      <text>
        <r>
          <rPr>
            <b/>
            <sz val="8"/>
            <color indexed="81"/>
            <rFont val="Tahoma"/>
            <family val="2"/>
          </rPr>
          <t xml:space="preserve">
Fundiven:
</t>
        </r>
        <r>
          <rPr>
            <sz val="8"/>
            <color indexed="81"/>
            <rFont val="Tahoma"/>
            <family val="2"/>
          </rPr>
          <t xml:space="preserve">
Portaria nº 190-A/2018
Anexo I, Parte 2</t>
        </r>
      </text>
    </comment>
    <comment ref="A9" authorId="0" shapeId="0">
      <text>
        <r>
          <rPr>
            <b/>
            <sz val="8"/>
            <color indexed="81"/>
            <rFont val="Tahoma"/>
            <family val="2"/>
          </rPr>
          <t xml:space="preserve">
Fundiven:
</t>
        </r>
        <r>
          <rPr>
            <sz val="8"/>
            <color indexed="81"/>
            <rFont val="Tahoma"/>
            <family val="2"/>
          </rPr>
          <t xml:space="preserve">
n.º cadastro 10474</t>
        </r>
      </text>
    </comment>
    <comment ref="I9"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40 m</t>
        </r>
        <r>
          <rPr>
            <vertAlign val="superscript"/>
            <sz val="8"/>
            <color indexed="81"/>
            <rFont val="Tahoma"/>
            <family val="2"/>
          </rPr>
          <t>3</t>
        </r>
        <r>
          <rPr>
            <sz val="8"/>
            <color indexed="81"/>
            <rFont val="Tahoma"/>
            <family val="2"/>
          </rPr>
          <t>/min</t>
        </r>
      </text>
    </comment>
    <comment ref="L9" authorId="2" shapeId="0">
      <text>
        <r>
          <rPr>
            <b/>
            <sz val="8"/>
            <color indexed="81"/>
            <rFont val="Tahoma"/>
            <family val="2"/>
          </rPr>
          <t xml:space="preserve">
Fundiven:
</t>
        </r>
        <r>
          <rPr>
            <sz val="8"/>
            <color indexed="81"/>
            <rFont val="Tahoma"/>
            <family val="2"/>
          </rPr>
          <t xml:space="preserve">
Portaria nº 190-A/2018
Anexo I, Parte 2</t>
        </r>
      </text>
    </comment>
    <comment ref="A10"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11" authorId="0" shapeId="0">
      <text>
        <r>
          <rPr>
            <b/>
            <sz val="8"/>
            <color indexed="81"/>
            <rFont val="Tahoma"/>
            <family val="2"/>
          </rPr>
          <t xml:space="preserve">
Fundiven:
</t>
        </r>
        <r>
          <rPr>
            <sz val="8"/>
            <color indexed="81"/>
            <rFont val="Tahoma"/>
            <family val="2"/>
          </rPr>
          <t xml:space="preserve">
nº de cadastro 12853</t>
        </r>
      </text>
    </comment>
    <comment ref="I11"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Valor dado pelo fornecedor.</t>
        </r>
      </text>
    </comment>
    <comment ref="L11" authorId="2" shapeId="0">
      <text>
        <r>
          <rPr>
            <b/>
            <sz val="8"/>
            <color indexed="81"/>
            <rFont val="Tahoma"/>
            <family val="2"/>
          </rPr>
          <t xml:space="preserve">
Fundiven:
</t>
        </r>
        <r>
          <rPr>
            <sz val="8"/>
            <color indexed="81"/>
            <rFont val="Tahoma"/>
            <family val="2"/>
          </rPr>
          <t xml:space="preserve">
Portaria nº 190-A/2018
Anexo I, Parte 2</t>
        </r>
      </text>
    </comment>
    <comment ref="B12" authorId="3" shapeId="0">
      <text>
        <r>
          <rPr>
            <b/>
            <sz val="8"/>
            <color indexed="81"/>
            <rFont val="Tahoma"/>
            <family val="2"/>
          </rPr>
          <t>Fundiven:</t>
        </r>
        <r>
          <rPr>
            <sz val="8"/>
            <color indexed="81"/>
            <rFont val="Tahoma"/>
            <family val="2"/>
          </rPr>
          <t xml:space="preserve">
Considerar igual ao forno fusor 6</t>
        </r>
      </text>
    </comment>
    <comment ref="I12" authorId="2" shapeId="0">
      <text>
        <r>
          <rPr>
            <b/>
            <sz val="8"/>
            <color indexed="81"/>
            <rFont val="Tahoma"/>
            <family val="2"/>
          </rPr>
          <t xml:space="preserve">
Fundiven:
</t>
        </r>
        <r>
          <rPr>
            <sz val="8"/>
            <color indexed="81"/>
            <rFont val="Tahoma"/>
            <family val="2"/>
          </rPr>
          <t xml:space="preserve">
Valor dado pelo fornecedor.</t>
        </r>
      </text>
    </comment>
    <comment ref="K12" authorId="2" shapeId="0">
      <text>
        <r>
          <rPr>
            <b/>
            <sz val="8"/>
            <color indexed="81"/>
            <rFont val="Tahoma"/>
            <family val="2"/>
          </rPr>
          <t xml:space="preserve">
Fundiven:
</t>
        </r>
        <r>
          <rPr>
            <sz val="8"/>
            <color indexed="81"/>
            <rFont val="Tahoma"/>
            <family val="2"/>
          </rPr>
          <t xml:space="preserve">
Valor dado pelo fornecedor</t>
        </r>
      </text>
    </comment>
    <comment ref="B13" authorId="3" shapeId="0">
      <text>
        <r>
          <rPr>
            <b/>
            <sz val="8"/>
            <color indexed="81"/>
            <rFont val="Tahoma"/>
            <family val="2"/>
          </rPr>
          <t>Fundiven:</t>
        </r>
        <r>
          <rPr>
            <sz val="8"/>
            <color indexed="81"/>
            <rFont val="Tahoma"/>
            <family val="2"/>
          </rPr>
          <t xml:space="preserve">
Considerado o das granalhadoras já existentes.</t>
        </r>
      </text>
    </comment>
    <comment ref="K13" authorId="3" shapeId="0">
      <text>
        <r>
          <rPr>
            <b/>
            <sz val="9"/>
            <color indexed="81"/>
            <rFont val="Tahoma"/>
            <family val="2"/>
          </rPr>
          <t>Fundiven:</t>
        </r>
        <r>
          <rPr>
            <sz val="9"/>
            <color indexed="81"/>
            <rFont val="Tahoma"/>
            <family val="2"/>
          </rPr>
          <t xml:space="preserve">
Não existe nenhuma medição, pelo que se considerou a mesma T das granalhadoras já existentes. </t>
        </r>
      </text>
    </comment>
    <comment ref="L13" authorId="2" shapeId="0">
      <text>
        <r>
          <rPr>
            <b/>
            <sz val="8"/>
            <color indexed="81"/>
            <rFont val="Tahoma"/>
            <family val="2"/>
          </rPr>
          <t xml:space="preserve">
Fundiven:
</t>
        </r>
        <r>
          <rPr>
            <sz val="8"/>
            <color indexed="81"/>
            <rFont val="Tahoma"/>
            <family val="2"/>
          </rPr>
          <t xml:space="preserve">
Portaria nº 190-A/2018
Anexo I, Parte 2</t>
        </r>
      </text>
    </comment>
    <comment ref="L14" authorId="2" shapeId="0">
      <text>
        <r>
          <rPr>
            <b/>
            <sz val="8"/>
            <color indexed="81"/>
            <rFont val="Tahoma"/>
            <family val="2"/>
          </rPr>
          <t xml:space="preserve">
Fundiven:
</t>
        </r>
        <r>
          <rPr>
            <sz val="8"/>
            <color indexed="81"/>
            <rFont val="Tahoma"/>
            <family val="2"/>
          </rPr>
          <t xml:space="preserve">
Portaria nº 190-A/2018
Anexo I, Parte 2</t>
        </r>
      </text>
    </comment>
  </commentList>
</comments>
</file>

<file path=xl/comments3.xml><?xml version="1.0" encoding="utf-8"?>
<comments xmlns="http://schemas.openxmlformats.org/spreadsheetml/2006/main">
  <authors>
    <author>Metalurgica do Levira, S.A.</author>
    <author>Utilizador</author>
    <author>FFigueiredo</author>
  </authors>
  <commentList>
    <comment ref="B1" authorId="0" shapeId="0">
      <text>
        <r>
          <rPr>
            <b/>
            <sz val="8"/>
            <color indexed="81"/>
            <rFont val="Tahoma"/>
            <family val="2"/>
          </rPr>
          <t xml:space="preserve">
Fundiven:
</t>
        </r>
        <r>
          <rPr>
            <sz val="8"/>
            <color indexed="81"/>
            <rFont val="Tahoma"/>
            <family val="2"/>
          </rPr>
          <t xml:space="preserve">
Coeficiente de Correcção 
Portaria nº 190-A/2018 </t>
        </r>
      </text>
    </comment>
    <comment ref="C1" authorId="0" shapeId="0">
      <text>
        <r>
          <rPr>
            <b/>
            <sz val="8"/>
            <color indexed="81"/>
            <rFont val="Tahoma"/>
            <family val="2"/>
          </rPr>
          <t xml:space="preserve">
Fundiven:
</t>
        </r>
        <r>
          <rPr>
            <sz val="8"/>
            <color indexed="81"/>
            <rFont val="Tahoma"/>
            <family val="2"/>
          </rPr>
          <t xml:space="preserve">
Coeficiente de Correcção
Portaria nº 190-A/2018 
</t>
        </r>
      </text>
    </comment>
    <comment ref="D1" authorId="0" shapeId="0">
      <text>
        <r>
          <rPr>
            <b/>
            <sz val="8"/>
            <color indexed="81"/>
            <rFont val="Tahoma"/>
            <family val="2"/>
          </rPr>
          <t xml:space="preserve">
Fundiven:</t>
        </r>
        <r>
          <rPr>
            <sz val="8"/>
            <color indexed="81"/>
            <rFont val="Tahoma"/>
            <family val="2"/>
          </rPr>
          <t xml:space="preserve">
Concentração de Referência
Portaria nº 190-A/2018 </t>
        </r>
      </text>
    </comment>
    <comment ref="E1" authorId="0" shapeId="0">
      <text>
        <r>
          <rPr>
            <b/>
            <sz val="8"/>
            <color indexed="81"/>
            <rFont val="Tahoma"/>
            <family val="2"/>
          </rPr>
          <t xml:space="preserve">
Fundiven:
</t>
        </r>
        <r>
          <rPr>
            <sz val="8"/>
            <color indexed="81"/>
            <rFont val="Tahoma"/>
            <family val="2"/>
          </rPr>
          <t xml:space="preserve">
Concentração de Referência</t>
        </r>
      </text>
    </comment>
    <comment ref="G1" authorId="0" shapeId="0">
      <text>
        <r>
          <rPr>
            <b/>
            <sz val="8"/>
            <color indexed="81"/>
            <rFont val="Tahoma"/>
            <family val="2"/>
          </rPr>
          <t xml:space="preserve">
Fundiven:</t>
        </r>
        <r>
          <rPr>
            <sz val="8"/>
            <color indexed="81"/>
            <rFont val="Tahoma"/>
            <family val="2"/>
          </rPr>
          <t xml:space="preserve">
Média Anual de Concentração do poluente Considerado.
Portaria nº 190-A/2018 </t>
        </r>
      </text>
    </comment>
    <comment ref="J1" authorId="0" shapeId="0">
      <text>
        <r>
          <rPr>
            <b/>
            <sz val="8"/>
            <color indexed="81"/>
            <rFont val="Tahoma"/>
            <family val="2"/>
          </rPr>
          <t xml:space="preserve">
Fundiven:</t>
        </r>
        <r>
          <rPr>
            <sz val="8"/>
            <color indexed="81"/>
            <rFont val="Tahoma"/>
            <family val="2"/>
          </rPr>
          <t xml:space="preserve">
Diferença entre Cr e Cf</t>
        </r>
      </text>
    </comment>
    <comment ref="K1" authorId="0" shapeId="0">
      <text>
        <r>
          <rPr>
            <b/>
            <sz val="8"/>
            <color indexed="81"/>
            <rFont val="Tahoma"/>
            <family val="2"/>
          </rPr>
          <t xml:space="preserve">
Fundiven:</t>
        </r>
        <r>
          <rPr>
            <sz val="8"/>
            <color indexed="81"/>
            <rFont val="Tahoma"/>
            <family val="2"/>
          </rPr>
          <t xml:space="preserve">
Diferença entre Cr e Cf
</t>
        </r>
      </text>
    </comment>
    <comment ref="L1" authorId="0" shapeId="0">
      <text>
        <r>
          <rPr>
            <b/>
            <sz val="8"/>
            <color indexed="81"/>
            <rFont val="Tahoma"/>
            <family val="2"/>
          </rPr>
          <t xml:space="preserve">
Fundiven:</t>
        </r>
        <r>
          <rPr>
            <sz val="8"/>
            <color indexed="81"/>
            <rFont val="Tahoma"/>
            <family val="2"/>
          </rPr>
          <t xml:space="preserve">
Diferença entre Cr e Cf
</t>
        </r>
      </text>
    </comment>
    <comment ref="P1" authorId="0" shapeId="0">
      <text>
        <r>
          <rPr>
            <b/>
            <sz val="8"/>
            <color indexed="81"/>
            <rFont val="Tahoma"/>
            <family val="2"/>
          </rPr>
          <t xml:space="preserve">
Fundiven:
</t>
        </r>
        <r>
          <rPr>
            <sz val="8"/>
            <color indexed="81"/>
            <rFont val="Tahoma"/>
            <family val="2"/>
          </rPr>
          <t xml:space="preserve">
S=(F*q)/C
</t>
        </r>
      </text>
    </comment>
    <comment ref="Q1" authorId="0" shapeId="0">
      <text>
        <r>
          <rPr>
            <b/>
            <sz val="8"/>
            <color indexed="81"/>
            <rFont val="Tahoma"/>
            <family val="2"/>
          </rPr>
          <t xml:space="preserve">
Fundiven:
</t>
        </r>
        <r>
          <rPr>
            <sz val="8"/>
            <color indexed="81"/>
            <rFont val="Tahoma"/>
            <family val="2"/>
          </rPr>
          <t xml:space="preserve">
S=(F*q)/C</t>
        </r>
      </text>
    </comment>
    <comment ref="R1" authorId="0" shapeId="0">
      <text>
        <r>
          <rPr>
            <b/>
            <sz val="8"/>
            <color indexed="81"/>
            <rFont val="Tahoma"/>
            <family val="2"/>
          </rPr>
          <t xml:space="preserve">
Fundiven:</t>
        </r>
        <r>
          <rPr>
            <sz val="8"/>
            <color indexed="81"/>
            <rFont val="Tahoma"/>
            <family val="2"/>
          </rPr>
          <t xml:space="preserve">
S=(F*q)/C</t>
        </r>
      </text>
    </comment>
    <comment ref="S1" authorId="0" shapeId="0">
      <text>
        <r>
          <rPr>
            <b/>
            <sz val="8"/>
            <color indexed="81"/>
            <rFont val="Tahoma"/>
            <family val="2"/>
          </rPr>
          <t xml:space="preserve">
Fundiven:
</t>
        </r>
        <r>
          <rPr>
            <sz val="8"/>
            <color indexed="81"/>
            <rFont val="Tahoma"/>
            <family val="2"/>
          </rPr>
          <t xml:space="preserve">
S=(F*q)/C
Por indicação de Francisco Póvoas considerar as PM.</t>
        </r>
      </text>
    </comment>
    <comment ref="E2" authorId="0" shapeId="0">
      <text>
        <r>
          <rPr>
            <b/>
            <sz val="8"/>
            <color indexed="81"/>
            <rFont val="Tahoma"/>
            <family val="2"/>
          </rPr>
          <t xml:space="preserve">
Fundiven:
</t>
        </r>
        <r>
          <rPr>
            <sz val="8"/>
            <color indexed="81"/>
            <rFont val="Tahoma"/>
            <family val="2"/>
          </rPr>
          <t xml:space="preserve">
Dióxido de Enxofre
Portaria nº 190-A/2018 </t>
        </r>
      </text>
    </comment>
    <comment ref="F2" authorId="0" shapeId="0">
      <text>
        <r>
          <rPr>
            <b/>
            <sz val="8"/>
            <color indexed="81"/>
            <rFont val="Tahoma"/>
            <family val="2"/>
          </rPr>
          <t xml:space="preserve">
Fundiven:
</t>
        </r>
        <r>
          <rPr>
            <sz val="8"/>
            <color indexed="81"/>
            <rFont val="Tahoma"/>
            <family val="2"/>
          </rPr>
          <t xml:space="preserve">
Monóxido e Dióxido de Enxofre
Portaria nº 190-A/2018 </t>
        </r>
      </text>
    </comment>
    <comment ref="H2" authorId="0" shapeId="0">
      <text>
        <r>
          <rPr>
            <b/>
            <sz val="8"/>
            <color indexed="81"/>
            <rFont val="Tahoma"/>
            <family val="2"/>
          </rPr>
          <t xml:space="preserve">
Fundiven:</t>
        </r>
        <r>
          <rPr>
            <sz val="8"/>
            <color indexed="81"/>
            <rFont val="Tahoma"/>
            <family val="2"/>
          </rPr>
          <t xml:space="preserve">
Dióxido de Enxofre
Portaria nº 190-A/2018 </t>
        </r>
      </text>
    </comment>
    <comment ref="I2" authorId="0" shapeId="0">
      <text>
        <r>
          <rPr>
            <b/>
            <sz val="8"/>
            <color indexed="81"/>
            <rFont val="Tahoma"/>
            <family val="2"/>
          </rPr>
          <t xml:space="preserve">
Fundiven:
</t>
        </r>
        <r>
          <rPr>
            <sz val="8"/>
            <color indexed="81"/>
            <rFont val="Tahoma"/>
            <family val="2"/>
          </rPr>
          <t xml:space="preserve">
Monóxido e Dióxido de Azoto
Portaria nº 190-A/2018 </t>
        </r>
      </text>
    </comment>
    <comment ref="A3" authorId="1" shapeId="0">
      <text>
        <r>
          <rPr>
            <b/>
            <sz val="8"/>
            <color indexed="81"/>
            <rFont val="Tahoma"/>
            <family val="2"/>
          </rPr>
          <t xml:space="preserve">
Fundiven:
</t>
        </r>
        <r>
          <rPr>
            <sz val="8"/>
            <color indexed="81"/>
            <rFont val="Tahoma"/>
            <family val="2"/>
          </rPr>
          <t xml:space="preserve">
n.º cadastro 1532</t>
        </r>
      </text>
    </comment>
    <comment ref="A4" authorId="1"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5" authorId="1" shapeId="0">
      <text>
        <r>
          <rPr>
            <b/>
            <sz val="8"/>
            <color indexed="81"/>
            <rFont val="Tahoma"/>
            <family val="2"/>
          </rPr>
          <t xml:space="preserve">
Fundiven:
</t>
        </r>
        <r>
          <rPr>
            <sz val="8"/>
            <color indexed="81"/>
            <rFont val="Tahoma"/>
            <family val="2"/>
          </rPr>
          <t xml:space="preserve">
 n.º cadastro 9401</t>
        </r>
      </text>
    </comment>
    <comment ref="A6" authorId="1" shapeId="0">
      <text>
        <r>
          <rPr>
            <b/>
            <sz val="8"/>
            <color indexed="81"/>
            <rFont val="Tahoma"/>
            <family val="2"/>
          </rPr>
          <t xml:space="preserve">
Fundiven:
</t>
        </r>
        <r>
          <rPr>
            <sz val="8"/>
            <color indexed="81"/>
            <rFont val="Tahoma"/>
            <family val="2"/>
          </rPr>
          <t xml:space="preserve">
 n.º cadastro 10995</t>
        </r>
      </text>
    </comment>
    <comment ref="A7" authorId="1" shapeId="0">
      <text>
        <r>
          <rPr>
            <b/>
            <sz val="8"/>
            <color indexed="81"/>
            <rFont val="Tahoma"/>
            <family val="2"/>
          </rPr>
          <t xml:space="preserve">
Fundiven:
</t>
        </r>
        <r>
          <rPr>
            <sz val="8"/>
            <color indexed="81"/>
            <rFont val="Tahoma"/>
            <family val="2"/>
          </rPr>
          <t xml:space="preserve">
 n.º cadastro 9402</t>
        </r>
      </text>
    </comment>
    <comment ref="A8" authorId="1" shapeId="0">
      <text>
        <r>
          <rPr>
            <b/>
            <sz val="8"/>
            <color indexed="81"/>
            <rFont val="Tahoma"/>
            <family val="2"/>
          </rPr>
          <t xml:space="preserve">
Fundiven:
</t>
        </r>
        <r>
          <rPr>
            <sz val="8"/>
            <color indexed="81"/>
            <rFont val="Tahoma"/>
            <family val="2"/>
          </rPr>
          <t xml:space="preserve">
 n.º cadastro 10475</t>
        </r>
      </text>
    </comment>
    <comment ref="A9" authorId="1" shapeId="0">
      <text>
        <r>
          <rPr>
            <b/>
            <sz val="8"/>
            <color indexed="81"/>
            <rFont val="Tahoma"/>
            <family val="2"/>
          </rPr>
          <t xml:space="preserve">
Fundiven:
</t>
        </r>
        <r>
          <rPr>
            <sz val="8"/>
            <color indexed="81"/>
            <rFont val="Tahoma"/>
            <family val="2"/>
          </rPr>
          <t xml:space="preserve">
n.º cadastro 10474</t>
        </r>
      </text>
    </comment>
    <comment ref="A10" authorId="1"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11" authorId="1" shapeId="0">
      <text>
        <r>
          <rPr>
            <b/>
            <sz val="8"/>
            <color indexed="81"/>
            <rFont val="Tahoma"/>
            <family val="2"/>
          </rPr>
          <t xml:space="preserve">
Fundiven:
</t>
        </r>
        <r>
          <rPr>
            <sz val="8"/>
            <color indexed="81"/>
            <rFont val="Tahoma"/>
            <family val="2"/>
          </rPr>
          <t xml:space="preserve">
nº de cadastro 12853</t>
        </r>
      </text>
    </comment>
    <comment ref="S12" authorId="2" shapeId="0">
      <text>
        <r>
          <rPr>
            <b/>
            <sz val="8"/>
            <color indexed="81"/>
            <rFont val="Tahoma"/>
            <family val="2"/>
          </rPr>
          <t xml:space="preserve">
Fundiven:</t>
        </r>
        <r>
          <rPr>
            <sz val="8"/>
            <color indexed="81"/>
            <rFont val="Tahoma"/>
            <family val="2"/>
          </rPr>
          <t xml:space="preserve">
Considerar partículas por indicação do Francisco Póvoas da CCDRc.</t>
        </r>
      </text>
    </comment>
  </commentList>
</comments>
</file>

<file path=xl/comments4.xml><?xml version="1.0" encoding="utf-8"?>
<comments xmlns="http://schemas.openxmlformats.org/spreadsheetml/2006/main">
  <authors>
    <author>Metalurgica do Levira, S.A.</author>
    <author>Utilizador</author>
  </authors>
  <commentList>
    <comment ref="B1" authorId="0" shapeId="0">
      <text>
        <r>
          <rPr>
            <b/>
            <sz val="8"/>
            <color indexed="81"/>
            <rFont val="Tahoma"/>
            <family val="2"/>
          </rPr>
          <t xml:space="preserve">
Fundiven: 
</t>
        </r>
        <r>
          <rPr>
            <sz val="8"/>
            <color indexed="81"/>
            <rFont val="Tahoma"/>
            <family val="2"/>
          </rPr>
          <t>É dependente se os 3 parâmetros abaixo referido forem verdadeiros.</t>
        </r>
      </text>
    </comment>
    <comment ref="C1" authorId="0" shapeId="0">
      <text>
        <r>
          <rPr>
            <b/>
            <sz val="8"/>
            <color indexed="81"/>
            <rFont val="Tahoma"/>
            <family val="2"/>
          </rPr>
          <t xml:space="preserve">
Fundiven:</t>
        </r>
        <r>
          <rPr>
            <sz val="8"/>
            <color indexed="81"/>
            <rFont val="Tahoma"/>
            <family val="2"/>
          </rPr>
          <t xml:space="preserve">
Somatório do valor de partículas existentes nas chaminés que têm dependência.
Por indicação de Franscisco Póvoa, consiserdar as PM como o poluente condicionante.</t>
        </r>
      </text>
    </comment>
    <comment ref="D1" authorId="0" shapeId="0">
      <text>
        <r>
          <rPr>
            <b/>
            <sz val="8"/>
            <color indexed="81"/>
            <rFont val="Tahoma"/>
            <family val="2"/>
          </rPr>
          <t xml:space="preserve">
Fundiven:</t>
        </r>
        <r>
          <rPr>
            <sz val="8"/>
            <color indexed="81"/>
            <rFont val="Tahoma"/>
            <family val="2"/>
          </rPr>
          <t xml:space="preserve">
Somatório dos valores de SO</t>
        </r>
        <r>
          <rPr>
            <vertAlign val="subscript"/>
            <sz val="8"/>
            <color indexed="81"/>
            <rFont val="Tahoma"/>
            <family val="2"/>
          </rPr>
          <t>2</t>
        </r>
        <r>
          <rPr>
            <sz val="8"/>
            <color indexed="81"/>
            <rFont val="Tahoma"/>
            <family val="2"/>
          </rPr>
          <t xml:space="preserve"> existentes  nas chaminés que têm dependência.  
</t>
        </r>
      </text>
    </comment>
    <comment ref="E1" authorId="0" shapeId="0">
      <text>
        <r>
          <rPr>
            <b/>
            <sz val="8"/>
            <color indexed="81"/>
            <rFont val="Tahoma"/>
            <family val="2"/>
          </rPr>
          <t xml:space="preserve">
Fundiven:
</t>
        </r>
        <r>
          <rPr>
            <sz val="8"/>
            <color indexed="81"/>
            <rFont val="Tahoma"/>
            <family val="2"/>
          </rPr>
          <t xml:space="preserve">
Somatório dos valores de NOx existentes nas chaminés que têm dependência.
</t>
        </r>
      </text>
    </comment>
    <comment ref="F1" authorId="0" shapeId="0">
      <text>
        <r>
          <rPr>
            <b/>
            <sz val="8"/>
            <color indexed="81"/>
            <rFont val="Tahoma"/>
            <family val="2"/>
          </rPr>
          <t xml:space="preserve">
Fundiven:</t>
        </r>
        <r>
          <rPr>
            <sz val="8"/>
            <color indexed="81"/>
            <rFont val="Tahoma"/>
            <family val="2"/>
          </rPr>
          <t xml:space="preserve">
Somatório dos valores de Metais existentes nas chamiés que têm dependência. 
</t>
        </r>
      </text>
    </comment>
    <comment ref="G1" authorId="1" shapeId="0">
      <text>
        <r>
          <rPr>
            <b/>
            <sz val="8"/>
            <color indexed="81"/>
            <rFont val="Tahoma"/>
            <family val="2"/>
          </rPr>
          <t>Fundiven:</t>
        </r>
        <r>
          <rPr>
            <sz val="8"/>
            <color indexed="81"/>
            <rFont val="Tahoma"/>
            <family val="2"/>
          </rPr>
          <t xml:space="preserve">
Partículas, por sugestão de Francisco Póvoa</t>
        </r>
      </text>
    </comment>
    <comment ref="H1" authorId="0" shapeId="0">
      <text>
        <r>
          <rPr>
            <b/>
            <sz val="8"/>
            <color indexed="81"/>
            <rFont val="Tahoma"/>
            <family val="2"/>
          </rPr>
          <t xml:space="preserve">
Fundiven:
</t>
        </r>
        <r>
          <rPr>
            <sz val="8"/>
            <color indexed="81"/>
            <rFont val="Tahoma"/>
            <family val="2"/>
          </rPr>
          <t xml:space="preserve">
Somatório dos caudais das chaminés que dependem.</t>
        </r>
      </text>
    </comment>
    <comment ref="I1" authorId="0" shapeId="0">
      <text>
        <r>
          <rPr>
            <b/>
            <sz val="8"/>
            <color indexed="81"/>
            <rFont val="Tahoma"/>
            <family val="2"/>
          </rPr>
          <t xml:space="preserve">
Fundiven:
</t>
        </r>
        <r>
          <rPr>
            <sz val="8"/>
            <color indexed="81"/>
            <rFont val="Tahoma"/>
            <family val="2"/>
          </rPr>
          <t xml:space="preserve">
Temperatura média das chaminés dependentes (un. Kelvin).</t>
        </r>
      </text>
    </comment>
    <comment ref="A3" authorId="1" shapeId="0">
      <text>
        <r>
          <rPr>
            <b/>
            <sz val="8"/>
            <color indexed="81"/>
            <rFont val="Tahoma"/>
            <family val="2"/>
          </rPr>
          <t xml:space="preserve">
Fundiven:
</t>
        </r>
        <r>
          <rPr>
            <sz val="8"/>
            <color indexed="81"/>
            <rFont val="Tahoma"/>
            <family val="2"/>
          </rPr>
          <t xml:space="preserve">
n.º cadastro 1532</t>
        </r>
      </text>
    </comment>
    <comment ref="A4" authorId="1"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5" authorId="1" shapeId="0">
      <text>
        <r>
          <rPr>
            <b/>
            <sz val="8"/>
            <color indexed="81"/>
            <rFont val="Tahoma"/>
            <family val="2"/>
          </rPr>
          <t xml:space="preserve">
Fundiven:
</t>
        </r>
        <r>
          <rPr>
            <sz val="8"/>
            <color indexed="81"/>
            <rFont val="Tahoma"/>
            <family val="2"/>
          </rPr>
          <t xml:space="preserve">
 n.º cadastro 9401</t>
        </r>
      </text>
    </comment>
    <comment ref="A6" authorId="1" shapeId="0">
      <text>
        <r>
          <rPr>
            <b/>
            <sz val="8"/>
            <color indexed="81"/>
            <rFont val="Tahoma"/>
            <family val="2"/>
          </rPr>
          <t xml:space="preserve">
Fundiven:
</t>
        </r>
        <r>
          <rPr>
            <sz val="8"/>
            <color indexed="81"/>
            <rFont val="Tahoma"/>
            <family val="2"/>
          </rPr>
          <t xml:space="preserve">
 n.º cadastro 10995</t>
        </r>
      </text>
    </comment>
    <comment ref="A7" authorId="1" shapeId="0">
      <text>
        <r>
          <rPr>
            <b/>
            <sz val="8"/>
            <color indexed="81"/>
            <rFont val="Tahoma"/>
            <family val="2"/>
          </rPr>
          <t xml:space="preserve">
Fundiven:
</t>
        </r>
        <r>
          <rPr>
            <sz val="8"/>
            <color indexed="81"/>
            <rFont val="Tahoma"/>
            <family val="2"/>
          </rPr>
          <t xml:space="preserve">
 n.º cadastro 9402</t>
        </r>
      </text>
    </comment>
    <comment ref="A8" authorId="1" shapeId="0">
      <text>
        <r>
          <rPr>
            <b/>
            <sz val="8"/>
            <color indexed="81"/>
            <rFont val="Tahoma"/>
            <family val="2"/>
          </rPr>
          <t xml:space="preserve">
Fundiven:
</t>
        </r>
        <r>
          <rPr>
            <sz val="8"/>
            <color indexed="81"/>
            <rFont val="Tahoma"/>
            <family val="2"/>
          </rPr>
          <t xml:space="preserve">
 n.º cadastro 10475</t>
        </r>
      </text>
    </comment>
    <comment ref="A9" authorId="1" shapeId="0">
      <text>
        <r>
          <rPr>
            <b/>
            <sz val="8"/>
            <color indexed="81"/>
            <rFont val="Tahoma"/>
            <family val="2"/>
          </rPr>
          <t xml:space="preserve">
Fundiven:
</t>
        </r>
        <r>
          <rPr>
            <sz val="8"/>
            <color indexed="81"/>
            <rFont val="Tahoma"/>
            <family val="2"/>
          </rPr>
          <t xml:space="preserve">
n.º cadastro 10474</t>
        </r>
      </text>
    </comment>
    <comment ref="A10" authorId="1"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11" authorId="1" shapeId="0">
      <text>
        <r>
          <rPr>
            <b/>
            <sz val="8"/>
            <color indexed="81"/>
            <rFont val="Tahoma"/>
            <family val="2"/>
          </rPr>
          <t xml:space="preserve">
Fundiven:
</t>
        </r>
        <r>
          <rPr>
            <sz val="8"/>
            <color indexed="81"/>
            <rFont val="Tahoma"/>
            <family val="2"/>
          </rPr>
          <t xml:space="preserve">
nº de cadastro 12853</t>
        </r>
      </text>
    </comment>
    <comment ref="F17" authorId="0" shapeId="0">
      <text>
        <r>
          <rPr>
            <b/>
            <sz val="8"/>
            <color indexed="81"/>
            <rFont val="Tahoma"/>
            <family val="2"/>
          </rPr>
          <t xml:space="preserve">
Fundiven:</t>
        </r>
        <r>
          <rPr>
            <sz val="8"/>
            <color indexed="81"/>
            <rFont val="Tahoma"/>
            <family val="2"/>
          </rPr>
          <t xml:space="preserve">
D=distância entre eixos das duas Chaminés</t>
        </r>
      </text>
    </comment>
  </commentList>
</comments>
</file>

<file path=xl/comments5.xml><?xml version="1.0" encoding="utf-8"?>
<comments xmlns="http://schemas.openxmlformats.org/spreadsheetml/2006/main">
  <authors>
    <author>Utilizador</author>
  </authors>
  <commentList>
    <comment ref="A217" authorId="0" shapeId="0">
      <text>
        <r>
          <rPr>
            <b/>
            <sz val="9"/>
            <color indexed="81"/>
            <rFont val="Tahoma"/>
            <family val="2"/>
          </rPr>
          <t xml:space="preserve">Fundiven:
</t>
        </r>
        <r>
          <rPr>
            <sz val="9"/>
            <color indexed="81"/>
            <rFont val="Tahoma"/>
            <family val="2"/>
          </rPr>
          <t xml:space="preserve">
Platibanda = rebordo do telhado</t>
        </r>
      </text>
    </comment>
    <comment ref="A251" authorId="0" shapeId="0">
      <text>
        <r>
          <rPr>
            <b/>
            <sz val="9"/>
            <color indexed="81"/>
            <rFont val="Tahoma"/>
            <family val="2"/>
          </rPr>
          <t xml:space="preserve">Fundiven:
</t>
        </r>
        <r>
          <rPr>
            <sz val="9"/>
            <color indexed="81"/>
            <rFont val="Tahoma"/>
            <family val="2"/>
          </rPr>
          <t xml:space="preserve">
Platibanda = rebordo do telhado</t>
        </r>
      </text>
    </comment>
    <comment ref="A255" authorId="0" shapeId="0">
      <text>
        <r>
          <rPr>
            <b/>
            <sz val="9"/>
            <color indexed="81"/>
            <rFont val="Tahoma"/>
            <family val="2"/>
          </rPr>
          <t xml:space="preserve">Fundiven:
</t>
        </r>
        <r>
          <rPr>
            <sz val="9"/>
            <color indexed="81"/>
            <rFont val="Tahoma"/>
            <family val="2"/>
          </rPr>
          <t xml:space="preserve">
Platibanda = rebordo do telhado</t>
        </r>
      </text>
    </comment>
  </commentList>
</comments>
</file>

<file path=xl/comments6.xml><?xml version="1.0" encoding="utf-8"?>
<comments xmlns="http://schemas.openxmlformats.org/spreadsheetml/2006/main">
  <authors>
    <author>Utilizador</author>
  </authors>
  <commentList>
    <comment ref="B1" authorId="0" shapeId="0">
      <text>
        <r>
          <rPr>
            <b/>
            <sz val="8"/>
            <color indexed="81"/>
            <rFont val="Tahoma"/>
            <family val="2"/>
          </rPr>
          <t xml:space="preserve">
Fundiven:
</t>
        </r>
        <r>
          <rPr>
            <sz val="8"/>
            <color indexed="81"/>
            <rFont val="Tahoma"/>
            <family val="2"/>
          </rPr>
          <t xml:space="preserve">
Cumeeria de 13,17 m mais próxima: novo pavilhão injeção ou prolongamento</t>
        </r>
      </text>
    </comment>
    <comment ref="D1" authorId="0" shapeId="0">
      <text>
        <r>
          <rPr>
            <b/>
            <sz val="8"/>
            <color indexed="81"/>
            <rFont val="Tahoma"/>
            <family val="2"/>
          </rPr>
          <t xml:space="preserve">
Fundiven:</t>
        </r>
        <r>
          <rPr>
            <sz val="8"/>
            <color indexed="81"/>
            <rFont val="Tahoma"/>
            <family val="2"/>
          </rPr>
          <t xml:space="preserve">
Cumeeira do novo pavilhão e prolongamento</t>
        </r>
      </text>
    </comment>
    <comment ref="A2" authorId="0" shapeId="0">
      <text>
        <r>
          <rPr>
            <b/>
            <sz val="8"/>
            <color indexed="81"/>
            <rFont val="Tahoma"/>
            <family val="2"/>
          </rPr>
          <t xml:space="preserve">
Fundiven:
</t>
        </r>
        <r>
          <rPr>
            <sz val="8"/>
            <color indexed="81"/>
            <rFont val="Tahoma"/>
            <family val="2"/>
          </rPr>
          <t xml:space="preserve">
n.º cadastro 1532</t>
        </r>
      </text>
    </comment>
    <comment ref="A3"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1533</t>
        </r>
      </text>
    </comment>
    <comment ref="A4" authorId="0" shapeId="0">
      <text>
        <r>
          <rPr>
            <b/>
            <sz val="8"/>
            <color indexed="81"/>
            <rFont val="Tahoma"/>
            <family val="2"/>
          </rPr>
          <t xml:space="preserve">
Fundiven:
</t>
        </r>
        <r>
          <rPr>
            <sz val="8"/>
            <color indexed="81"/>
            <rFont val="Tahoma"/>
            <family val="2"/>
          </rPr>
          <t xml:space="preserve">
 n.º cadastro 9401</t>
        </r>
      </text>
    </comment>
    <comment ref="A5" authorId="0" shapeId="0">
      <text>
        <r>
          <rPr>
            <b/>
            <sz val="8"/>
            <color indexed="81"/>
            <rFont val="Tahoma"/>
            <family val="2"/>
          </rPr>
          <t xml:space="preserve">
Fundiven:
</t>
        </r>
        <r>
          <rPr>
            <sz val="8"/>
            <color indexed="81"/>
            <rFont val="Tahoma"/>
            <family val="2"/>
          </rPr>
          <t xml:space="preserve">
 n.º cadastro 10995</t>
        </r>
      </text>
    </comment>
    <comment ref="A6" authorId="0" shapeId="0">
      <text>
        <r>
          <rPr>
            <b/>
            <sz val="8"/>
            <color indexed="81"/>
            <rFont val="Tahoma"/>
            <family val="2"/>
          </rPr>
          <t xml:space="preserve">
Fundiven:
</t>
        </r>
        <r>
          <rPr>
            <sz val="8"/>
            <color indexed="81"/>
            <rFont val="Tahoma"/>
            <family val="2"/>
          </rPr>
          <t xml:space="preserve">
 n.º cadastro 9402</t>
        </r>
      </text>
    </comment>
    <comment ref="A7" authorId="0" shapeId="0">
      <text>
        <r>
          <rPr>
            <b/>
            <sz val="8"/>
            <color indexed="81"/>
            <rFont val="Tahoma"/>
            <family val="2"/>
          </rPr>
          <t xml:space="preserve">
Fundiven:
</t>
        </r>
        <r>
          <rPr>
            <sz val="8"/>
            <color indexed="81"/>
            <rFont val="Tahoma"/>
            <family val="2"/>
          </rPr>
          <t xml:space="preserve">
 n.º cadastro 10475</t>
        </r>
      </text>
    </comment>
    <comment ref="A8" authorId="0" shapeId="0">
      <text>
        <r>
          <rPr>
            <b/>
            <sz val="8"/>
            <color indexed="81"/>
            <rFont val="Tahoma"/>
            <family val="2"/>
          </rPr>
          <t xml:space="preserve">
Fundiven:
</t>
        </r>
        <r>
          <rPr>
            <sz val="8"/>
            <color indexed="81"/>
            <rFont val="Tahoma"/>
            <family val="2"/>
          </rPr>
          <t xml:space="preserve">
n.º cadastro 10474</t>
        </r>
      </text>
    </comment>
    <comment ref="A9" authorId="0" shapeId="0">
      <text>
        <r>
          <rPr>
            <b/>
            <sz val="9"/>
            <color indexed="81"/>
            <rFont val="Tahoma"/>
            <family val="2"/>
          </rPr>
          <t xml:space="preserve">
</t>
        </r>
        <r>
          <rPr>
            <b/>
            <sz val="8"/>
            <color indexed="81"/>
            <rFont val="Tahoma"/>
            <family val="2"/>
          </rPr>
          <t xml:space="preserve">Fundiven:
</t>
        </r>
        <r>
          <rPr>
            <sz val="8"/>
            <color indexed="81"/>
            <rFont val="Tahoma"/>
            <family val="2"/>
          </rPr>
          <t xml:space="preserve">
n.º cadastro 12224</t>
        </r>
      </text>
    </comment>
    <comment ref="A10" authorId="0" shapeId="0">
      <text>
        <r>
          <rPr>
            <b/>
            <sz val="8"/>
            <color indexed="81"/>
            <rFont val="Tahoma"/>
            <family val="2"/>
          </rPr>
          <t xml:space="preserve">
Fundiven:
</t>
        </r>
        <r>
          <rPr>
            <sz val="8"/>
            <color indexed="81"/>
            <rFont val="Tahoma"/>
            <family val="2"/>
          </rPr>
          <t xml:space="preserve">
nº de cadastro 12853</t>
        </r>
      </text>
    </comment>
  </commentList>
</comments>
</file>

<file path=xl/comments7.xml><?xml version="1.0" encoding="utf-8"?>
<comments xmlns="http://schemas.openxmlformats.org/spreadsheetml/2006/main">
  <authors>
    <author>Filipa</author>
  </authors>
  <commentList>
    <comment ref="E12" authorId="0" shapeId="0">
      <text>
        <r>
          <rPr>
            <b/>
            <sz val="9"/>
            <color indexed="81"/>
            <rFont val="Tahoma"/>
            <family val="2"/>
          </rPr>
          <t>Fundiven:</t>
        </r>
        <r>
          <rPr>
            <sz val="9"/>
            <color indexed="81"/>
            <rFont val="Tahoma"/>
            <family val="2"/>
          </rPr>
          <t xml:space="preserve">
Pedido do nº de cadastro efetuado à CCDR, via email, a 24/06/2020.</t>
        </r>
      </text>
    </comment>
    <comment ref="E13" authorId="0" shapeId="0">
      <text>
        <r>
          <rPr>
            <b/>
            <sz val="9"/>
            <color indexed="81"/>
            <rFont val="Tahoma"/>
            <family val="2"/>
          </rPr>
          <t>Fundiven:</t>
        </r>
        <r>
          <rPr>
            <sz val="9"/>
            <color indexed="81"/>
            <rFont val="Tahoma"/>
            <family val="2"/>
          </rPr>
          <t xml:space="preserve">
Pedido do nº de cadastro efetuado à CCDR, via email, a 04/11/2020.</t>
        </r>
      </text>
    </comment>
    <comment ref="E14" authorId="0" shapeId="0">
      <text>
        <r>
          <rPr>
            <b/>
            <sz val="9"/>
            <color indexed="81"/>
            <rFont val="Tahoma"/>
            <family val="2"/>
          </rPr>
          <t>Fundiven:</t>
        </r>
        <r>
          <rPr>
            <sz val="9"/>
            <color indexed="81"/>
            <rFont val="Tahoma"/>
            <family val="2"/>
          </rPr>
          <t xml:space="preserve">
Pedido do nº de cadastro efetuado à CCDR, via email, a 04/11/2020.</t>
        </r>
      </text>
    </comment>
  </commentList>
</comments>
</file>

<file path=xl/sharedStrings.xml><?xml version="1.0" encoding="utf-8"?>
<sst xmlns="http://schemas.openxmlformats.org/spreadsheetml/2006/main" count="318" uniqueCount="118">
  <si>
    <t>Hc(m)</t>
  </si>
  <si>
    <t>Chaminés</t>
  </si>
  <si>
    <t>FF2</t>
  </si>
  <si>
    <t>FF3</t>
  </si>
  <si>
    <t>FF4</t>
  </si>
  <si>
    <t>FF5</t>
  </si>
  <si>
    <t>Chaminé</t>
  </si>
  <si>
    <t>Hp(m)</t>
  </si>
  <si>
    <t>Particulas</t>
  </si>
  <si>
    <t>Caudais Mássicos  q (kg/h)</t>
  </si>
  <si>
    <t>Dependência de Chaminés</t>
  </si>
  <si>
    <t>F(para Particulas)</t>
  </si>
  <si>
    <t>F(para gases)</t>
  </si>
  <si>
    <t>Smax</t>
  </si>
  <si>
    <t>Altura das Chaminés(m)</t>
  </si>
  <si>
    <t>Dependências</t>
  </si>
  <si>
    <t>não</t>
  </si>
  <si>
    <t>sim</t>
  </si>
  <si>
    <t>Distâncias(m)</t>
  </si>
  <si>
    <t>Critério de Dependência</t>
  </si>
  <si>
    <t>Existência  de dependência</t>
  </si>
  <si>
    <t>Variação da Temperatura
(Kelvin)</t>
  </si>
  <si>
    <t>Distância
 Total(m)</t>
  </si>
  <si>
    <t>Largura do 
obstáculo(m)</t>
  </si>
  <si>
    <t>NOx</t>
  </si>
  <si>
    <t>Metais III</t>
  </si>
  <si>
    <t xml:space="preserve">Hp </t>
  </si>
  <si>
    <t>q NOx (kg/h)</t>
  </si>
  <si>
    <t>Obstáculo</t>
  </si>
  <si>
    <t>Vizinhança ?</t>
  </si>
  <si>
    <t>D/5</t>
  </si>
  <si>
    <t>1+(14D)/300</t>
  </si>
  <si>
    <t>h0</t>
  </si>
  <si>
    <t>Obstáculo próximo ?</t>
  </si>
  <si>
    <t>(m)</t>
  </si>
  <si>
    <t>OK / NOK</t>
  </si>
  <si>
    <t>S Partículas</t>
  </si>
  <si>
    <t>FF6</t>
  </si>
  <si>
    <t>Cumeeira novo pavilhão</t>
  </si>
  <si>
    <t>Cumeeira mais próxima</t>
  </si>
  <si>
    <t>Evaporador (FF7)</t>
  </si>
  <si>
    <t>Granalhadora MT 1000 (FF8)</t>
  </si>
  <si>
    <t>Granalhadora L65 (FF9)</t>
  </si>
  <si>
    <t>Lixagem (FF10)</t>
  </si>
  <si>
    <t>Cadastro n.º</t>
  </si>
  <si>
    <t>FF11</t>
  </si>
  <si>
    <t>FF11 (Forno de fusão 7)</t>
  </si>
  <si>
    <t>FF10 (Lixagem)</t>
  </si>
  <si>
    <t>FF7 (Evaporador)</t>
  </si>
  <si>
    <t>Forno Fusor 2 (FF2)</t>
  </si>
  <si>
    <t>Forno Fusor 3 (FF3)</t>
  </si>
  <si>
    <t>Forno Fusor 4 (FF4)</t>
  </si>
  <si>
    <t>Forno Fusor 5 (FF5)</t>
  </si>
  <si>
    <t>Forno Fusor 6 (FF6)</t>
  </si>
  <si>
    <t>Forno Fusor 7 (FF11)</t>
  </si>
  <si>
    <t>FF7</t>
  </si>
  <si>
    <t>FF8</t>
  </si>
  <si>
    <t>FF9</t>
  </si>
  <si>
    <t>FF10</t>
  </si>
  <si>
    <r>
      <t>Cr(Particulas)(mg.m</t>
    </r>
    <r>
      <rPr>
        <b/>
        <vertAlign val="superscript"/>
        <sz val="9"/>
        <rFont val="Calibri"/>
        <family val="2"/>
        <scheme val="minor"/>
      </rPr>
      <t>-3</t>
    </r>
    <r>
      <rPr>
        <b/>
        <sz val="9"/>
        <rFont val="Calibri"/>
        <family val="2"/>
        <scheme val="minor"/>
      </rPr>
      <t>)</t>
    </r>
  </si>
  <si>
    <r>
      <t>q SO</t>
    </r>
    <r>
      <rPr>
        <b/>
        <vertAlign val="subscript"/>
        <sz val="9"/>
        <rFont val="Calibri"/>
        <family val="2"/>
        <scheme val="minor"/>
      </rPr>
      <t>2</t>
    </r>
    <r>
      <rPr>
        <b/>
        <sz val="9"/>
        <rFont val="Calibri"/>
        <family val="2"/>
        <scheme val="minor"/>
      </rPr>
      <t xml:space="preserve"> (kg/h)</t>
    </r>
  </si>
  <si>
    <r>
      <t>SO</t>
    </r>
    <r>
      <rPr>
        <b/>
        <vertAlign val="subscript"/>
        <sz val="9"/>
        <rFont val="Calibri"/>
        <family val="2"/>
        <scheme val="minor"/>
      </rPr>
      <t>2</t>
    </r>
  </si>
  <si>
    <t>Distância
 Total (m)</t>
  </si>
  <si>
    <t>Largura do 
obstáculo (m)</t>
  </si>
  <si>
    <r>
      <t>h</t>
    </r>
    <r>
      <rPr>
        <b/>
        <vertAlign val="subscript"/>
        <sz val="9"/>
        <rFont val="Calibri"/>
        <family val="2"/>
        <scheme val="minor"/>
      </rPr>
      <t xml:space="preserve">0 </t>
    </r>
    <r>
      <rPr>
        <b/>
        <sz val="9"/>
        <rFont val="Calibri"/>
        <family val="2"/>
        <scheme val="minor"/>
      </rPr>
      <t>(m)</t>
    </r>
  </si>
  <si>
    <t>Hc (m)</t>
  </si>
  <si>
    <t>T. Ambiente(K)</t>
  </si>
  <si>
    <t>S Particulas</t>
  </si>
  <si>
    <r>
      <t>S</t>
    </r>
    <r>
      <rPr>
        <b/>
        <vertAlign val="subscript"/>
        <sz val="9"/>
        <rFont val="Calibri"/>
        <family val="2"/>
        <scheme val="minor"/>
      </rPr>
      <t>SO2</t>
    </r>
  </si>
  <si>
    <r>
      <t>S</t>
    </r>
    <r>
      <rPr>
        <b/>
        <vertAlign val="subscript"/>
        <sz val="9"/>
        <rFont val="Calibri"/>
        <family val="2"/>
        <scheme val="minor"/>
      </rPr>
      <t xml:space="preserve"> NOx</t>
    </r>
  </si>
  <si>
    <t>q Partículas (kg/h)</t>
  </si>
  <si>
    <r>
      <t>Cr (gases) (mg.m</t>
    </r>
    <r>
      <rPr>
        <b/>
        <vertAlign val="superscript"/>
        <sz val="9"/>
        <rFont val="Calibri"/>
        <family val="2"/>
        <scheme val="minor"/>
      </rPr>
      <t>-3</t>
    </r>
    <r>
      <rPr>
        <b/>
        <sz val="9"/>
        <rFont val="Calibri"/>
        <family val="2"/>
        <scheme val="minor"/>
      </rPr>
      <t>)</t>
    </r>
  </si>
  <si>
    <r>
      <t>Cf (Particulas) (mg.m</t>
    </r>
    <r>
      <rPr>
        <b/>
        <vertAlign val="superscript"/>
        <sz val="9"/>
        <rFont val="Calibri"/>
        <family val="2"/>
        <scheme val="minor"/>
      </rPr>
      <t>-3</t>
    </r>
    <r>
      <rPr>
        <b/>
        <sz val="9"/>
        <rFont val="Calibri"/>
        <family val="2"/>
        <scheme val="minor"/>
      </rPr>
      <t>)</t>
    </r>
  </si>
  <si>
    <r>
      <t>Cf (gases) (mg.m</t>
    </r>
    <r>
      <rPr>
        <b/>
        <vertAlign val="superscript"/>
        <sz val="9"/>
        <rFont val="Calibri"/>
        <family val="2"/>
        <scheme val="minor"/>
      </rPr>
      <t>-3</t>
    </r>
    <r>
      <rPr>
        <b/>
        <sz val="9"/>
        <rFont val="Calibri"/>
        <family val="2"/>
        <scheme val="minor"/>
      </rPr>
      <t>)</t>
    </r>
  </si>
  <si>
    <r>
      <t>C</t>
    </r>
    <r>
      <rPr>
        <b/>
        <vertAlign val="subscript"/>
        <sz val="9"/>
        <rFont val="Calibri"/>
        <family val="2"/>
        <scheme val="minor"/>
      </rPr>
      <t xml:space="preserve">particulas </t>
    </r>
    <r>
      <rPr>
        <b/>
        <sz val="9"/>
        <rFont val="Calibri"/>
        <family val="2"/>
        <scheme val="minor"/>
      </rPr>
      <t>(mg.m</t>
    </r>
    <r>
      <rPr>
        <b/>
        <vertAlign val="superscript"/>
        <sz val="9"/>
        <rFont val="Calibri"/>
        <family val="2"/>
        <scheme val="minor"/>
      </rPr>
      <t>-3</t>
    </r>
    <r>
      <rPr>
        <b/>
        <sz val="9"/>
        <rFont val="Calibri"/>
        <family val="2"/>
        <scheme val="minor"/>
      </rPr>
      <t>)</t>
    </r>
  </si>
  <si>
    <r>
      <t>C</t>
    </r>
    <r>
      <rPr>
        <b/>
        <vertAlign val="subscript"/>
        <sz val="9"/>
        <rFont val="Calibri"/>
        <family val="2"/>
        <scheme val="minor"/>
      </rPr>
      <t xml:space="preserve">SO2 </t>
    </r>
    <r>
      <rPr>
        <b/>
        <sz val="9"/>
        <rFont val="Calibri"/>
        <family val="2"/>
        <scheme val="minor"/>
      </rPr>
      <t>(mg.m</t>
    </r>
    <r>
      <rPr>
        <b/>
        <vertAlign val="superscript"/>
        <sz val="9"/>
        <rFont val="Calibri"/>
        <family val="2"/>
        <scheme val="minor"/>
      </rPr>
      <t>-3</t>
    </r>
    <r>
      <rPr>
        <b/>
        <sz val="9"/>
        <rFont val="Calibri"/>
        <family val="2"/>
        <scheme val="minor"/>
      </rPr>
      <t>)</t>
    </r>
  </si>
  <si>
    <r>
      <t>C</t>
    </r>
    <r>
      <rPr>
        <b/>
        <vertAlign val="subscript"/>
        <sz val="9"/>
        <rFont val="Calibri"/>
        <family val="2"/>
        <scheme val="minor"/>
      </rPr>
      <t xml:space="preserve">NOx </t>
    </r>
    <r>
      <rPr>
        <b/>
        <sz val="9"/>
        <rFont val="Calibri"/>
        <family val="2"/>
        <scheme val="minor"/>
      </rPr>
      <t>(mg.m</t>
    </r>
    <r>
      <rPr>
        <b/>
        <vertAlign val="superscript"/>
        <sz val="9"/>
        <rFont val="Calibri"/>
        <family val="2"/>
        <scheme val="minor"/>
      </rPr>
      <t>-3</t>
    </r>
    <r>
      <rPr>
        <b/>
        <sz val="9"/>
        <rFont val="Calibri"/>
        <family val="2"/>
        <scheme val="minor"/>
      </rPr>
      <t>)</t>
    </r>
  </si>
  <si>
    <t>Altura da chaminé (m)</t>
  </si>
  <si>
    <t>Altura mínima das chaminés pavilhão novo</t>
  </si>
  <si>
    <t>Cumeeira pavilhão velho</t>
  </si>
  <si>
    <t>Altura mínima das chaminés pavilhão antigo</t>
  </si>
  <si>
    <r>
      <t>Caudal Volumico Q (m</t>
    </r>
    <r>
      <rPr>
        <b/>
        <vertAlign val="superscript"/>
        <sz val="9"/>
        <rFont val="Calibri"/>
        <family val="2"/>
        <scheme val="minor"/>
      </rPr>
      <t>3</t>
    </r>
    <r>
      <rPr>
        <b/>
        <sz val="9"/>
        <rFont val="Calibri"/>
        <family val="2"/>
        <scheme val="minor"/>
      </rPr>
      <t>/h)</t>
    </r>
  </si>
  <si>
    <t>T. Saída(K)</t>
  </si>
  <si>
    <r>
      <t>Para os poluentes: Metais, CO, COV, Pb, Cr e Cu assume-se o Hp=10 metros por não haver C</t>
    </r>
    <r>
      <rPr>
        <vertAlign val="subscript"/>
        <sz val="9"/>
        <rFont val="Calibri"/>
        <family val="2"/>
        <scheme val="minor"/>
      </rPr>
      <t>R</t>
    </r>
    <r>
      <rPr>
        <sz val="9"/>
        <rFont val="Calibri"/>
        <family val="2"/>
        <scheme val="minor"/>
      </rPr>
      <t xml:space="preserve"> de referência</t>
    </r>
  </si>
  <si>
    <t>Hi &gt; Hj / 2</t>
  </si>
  <si>
    <t>Hj &gt; Hi / 2</t>
  </si>
  <si>
    <t>D &lt; Hi + Hj + 10</t>
  </si>
  <si>
    <t>FF2, FF3, FF4, FF5, FF7, FF6, FF10</t>
  </si>
  <si>
    <t>FF2, FF3, FF4, FF7, FF8, FF6, FF11</t>
  </si>
  <si>
    <t>FF2, FF3, FF4, FF5, FF6, FF10, FF11</t>
  </si>
  <si>
    <t>FF2, FF3, FF4, FF5, FF7, FF11</t>
  </si>
  <si>
    <t>FF7, FF11</t>
  </si>
  <si>
    <r>
      <t>Q (m</t>
    </r>
    <r>
      <rPr>
        <b/>
        <vertAlign val="superscript"/>
        <sz val="9"/>
        <rFont val="Calibri"/>
        <family val="2"/>
        <scheme val="minor"/>
      </rPr>
      <t>3</t>
    </r>
    <r>
      <rPr>
        <b/>
        <sz val="9"/>
        <rFont val="Calibri"/>
        <family val="2"/>
        <scheme val="minor"/>
      </rPr>
      <t>/h)</t>
    </r>
  </si>
  <si>
    <t>FF12</t>
  </si>
  <si>
    <t>FF13</t>
  </si>
  <si>
    <t>Cumeeira pavilhão novo</t>
  </si>
  <si>
    <t>FF2, FF3, FF5, FF7, FF6, FF11</t>
  </si>
  <si>
    <t>FF2, FF3, FF8, FF9, FF13</t>
  </si>
  <si>
    <t>FF3, FF8, FF9, FF12</t>
  </si>
  <si>
    <t>Granalhadora TG1 (FF12)</t>
  </si>
  <si>
    <t>Granalhadora PG (FF13)</t>
  </si>
  <si>
    <t>FF6 (Forno de fusão 6)</t>
  </si>
  <si>
    <t>FF9 (Granalhadora L65)</t>
  </si>
  <si>
    <t>FF8 (Granalhadora MT1000)</t>
  </si>
  <si>
    <t>FF12 (Granalhadora TG1)</t>
  </si>
  <si>
    <t>FF13 (Granalhadora PG)</t>
  </si>
  <si>
    <t>q (kg/h) Particulas</t>
  </si>
  <si>
    <r>
      <t xml:space="preserve"> q (kg/h) SO</t>
    </r>
    <r>
      <rPr>
        <b/>
        <vertAlign val="subscript"/>
        <sz val="9"/>
        <rFont val="Calibri"/>
        <family val="2"/>
        <scheme val="minor"/>
      </rPr>
      <t>2</t>
    </r>
  </si>
  <si>
    <t xml:space="preserve"> q (kg/h) NOx</t>
  </si>
  <si>
    <t xml:space="preserve"> q (kg/h) Metais III</t>
  </si>
  <si>
    <r>
      <t>VEA / VLE
Partículas
(mg/Nm</t>
    </r>
    <r>
      <rPr>
        <b/>
        <vertAlign val="superscript"/>
        <sz val="9"/>
        <rFont val="Calibri"/>
        <family val="2"/>
        <scheme val="minor"/>
      </rPr>
      <t>3</t>
    </r>
    <r>
      <rPr>
        <b/>
        <sz val="9"/>
        <rFont val="Calibri"/>
        <family val="2"/>
        <scheme val="minor"/>
      </rPr>
      <t>)</t>
    </r>
  </si>
  <si>
    <r>
      <t>VEA / VLE 
SO</t>
    </r>
    <r>
      <rPr>
        <b/>
        <vertAlign val="subscript"/>
        <sz val="9"/>
        <rFont val="Calibri"/>
        <family val="2"/>
        <scheme val="minor"/>
      </rPr>
      <t xml:space="preserve">2
</t>
    </r>
    <r>
      <rPr>
        <b/>
        <sz val="9"/>
        <rFont val="Calibri"/>
        <family val="2"/>
        <scheme val="minor"/>
      </rPr>
      <t>(mg/Nm</t>
    </r>
    <r>
      <rPr>
        <b/>
        <vertAlign val="superscript"/>
        <sz val="9"/>
        <rFont val="Calibri"/>
        <family val="2"/>
        <scheme val="minor"/>
      </rPr>
      <t>3</t>
    </r>
    <r>
      <rPr>
        <b/>
        <sz val="9"/>
        <rFont val="Calibri"/>
        <family val="2"/>
        <scheme val="minor"/>
      </rPr>
      <t>)</t>
    </r>
  </si>
  <si>
    <r>
      <t>VEA / VLE 
Nox
(mg/Nm</t>
    </r>
    <r>
      <rPr>
        <b/>
        <vertAlign val="superscript"/>
        <sz val="9"/>
        <rFont val="Calibri"/>
        <family val="2"/>
        <scheme val="minor"/>
      </rPr>
      <t>3</t>
    </r>
    <r>
      <rPr>
        <b/>
        <sz val="9"/>
        <rFont val="Calibri"/>
        <family val="2"/>
        <scheme val="minor"/>
      </rPr>
      <t>)</t>
    </r>
  </si>
  <si>
    <t>FF3, FF4, FF5, FF7, FF8, FF6, FF11, FF12</t>
  </si>
  <si>
    <t>FF2, FF4, FF5, FF7, FF8, FF9, FF6, FF11, FF12, FF13</t>
  </si>
  <si>
    <t>FF2, FF3, FF5, FF9, FF12, FF13</t>
  </si>
  <si>
    <t>FF3, FF8, FF12, FF13</t>
  </si>
  <si>
    <r>
      <t>H</t>
    </r>
    <r>
      <rPr>
        <b/>
        <vertAlign val="subscript"/>
        <sz val="10"/>
        <rFont val="Calibri"/>
        <family val="2"/>
        <scheme val="minor"/>
      </rPr>
      <t>Final</t>
    </r>
    <r>
      <rPr>
        <b/>
        <sz val="9"/>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</si>
</sst>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20" x14ac:knownFonts="1">
    <font>
      <sz val="10"/>
      <name val="Arial"/>
    </font>
    <font>
      <sz val="8"/>
      <color indexed="81"/>
      <name val="Tahoma"/>
      <family val="2"/>
    </font>
    <font>
      <b/>
      <sz val="8"/>
      <color indexed="81"/>
      <name val="Tahoma"/>
      <family val="2"/>
    </font>
    <font>
      <sz val="9"/>
      <name val="Tahoma"/>
      <family val="2"/>
    </font>
    <font>
      <b/>
      <sz val="9"/>
      <name val="Tahoma"/>
      <family val="2"/>
    </font>
    <font>
      <sz val="9"/>
      <color indexed="81"/>
      <name val="Tahoma"/>
      <family val="2"/>
    </font>
    <font>
      <b/>
      <sz val="9"/>
      <color indexed="81"/>
      <name val="Tahoma"/>
      <family val="2"/>
    </font>
    <font>
      <b/>
      <sz val="9"/>
      <name val="Calibri"/>
      <family val="2"/>
      <scheme val="minor"/>
    </font>
    <font>
      <sz val="9"/>
      <name val="Calibri"/>
      <family val="2"/>
      <scheme val="minor"/>
    </font>
    <font>
      <sz val="9"/>
      <color theme="1"/>
      <name val="Calibri"/>
      <family val="2"/>
      <scheme val="minor"/>
    </font>
    <font>
      <b/>
      <vertAlign val="superscript"/>
      <sz val="9"/>
      <name val="Calibri"/>
      <family val="2"/>
      <scheme val="minor"/>
    </font>
    <font>
      <vertAlign val="superscript"/>
      <sz val="8"/>
      <color indexed="81"/>
      <name val="Tahoma"/>
      <family val="2"/>
    </font>
    <font>
      <vertAlign val="subscript"/>
      <sz val="9"/>
      <name val="Calibri"/>
      <family val="2"/>
      <scheme val="minor"/>
    </font>
    <font>
      <b/>
      <vertAlign val="subscript"/>
      <sz val="9"/>
      <name val="Calibri"/>
      <family val="2"/>
      <scheme val="minor"/>
    </font>
    <font>
      <vertAlign val="subscript"/>
      <sz val="8"/>
      <color indexed="81"/>
      <name val="Tahoma"/>
      <family val="2"/>
    </font>
    <font>
      <sz val="9"/>
      <color rgb="FF00B0F0"/>
      <name val="Calibri"/>
      <family val="2"/>
      <scheme val="minor"/>
    </font>
    <font>
      <sz val="9"/>
      <color rgb="FF0070C0"/>
      <name val="Calibri"/>
      <family val="2"/>
      <scheme val="minor"/>
    </font>
    <font>
      <b/>
      <sz val="9"/>
      <color rgb="FF0070C0"/>
      <name val="Tahoma"/>
      <family val="2"/>
    </font>
    <font>
      <sz val="9"/>
      <color rgb="FF0070C0"/>
      <name val="Tahoma"/>
      <family val="2"/>
    </font>
    <font>
      <b/>
      <vertAlign val="subscript"/>
      <sz val="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CFFFF"/>
        <bgColor indexed="64"/>
      </patternFill>
    </fill>
    <fill>
      <patternFill patternType="solid">
        <fgColor rgb="FFBEE395"/>
        <bgColor indexed="64"/>
      </patternFill>
    </fill>
    <fill>
      <patternFill patternType="solid">
        <fgColor theme="8" tint="0.79998168889431442"/>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double">
        <color indexed="64"/>
      </right>
      <top style="medium">
        <color indexed="64"/>
      </top>
      <bottom/>
      <diagonal/>
    </border>
    <border>
      <left/>
      <right style="double">
        <color indexed="64"/>
      </right>
      <top/>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s>
  <cellStyleXfs count="1">
    <xf numFmtId="0" fontId="0" fillId="0" borderId="0"/>
  </cellStyleXfs>
  <cellXfs count="219">
    <xf numFmtId="0" fontId="0" fillId="0" borderId="0" xfId="0"/>
    <xf numFmtId="0" fontId="3" fillId="2"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164" fontId="8" fillId="0" borderId="0" xfId="0" applyNumberFormat="1" applyFont="1" applyAlignment="1">
      <alignment horizontal="center" vertical="center" wrapText="1"/>
    </xf>
    <xf numFmtId="164" fontId="8" fillId="0" borderId="1" xfId="0" applyNumberFormat="1" applyFont="1" applyFill="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0"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164" fontId="8" fillId="0" borderId="0" xfId="0" applyNumberFormat="1" applyFont="1" applyBorder="1" applyAlignment="1">
      <alignment horizontal="center" vertical="center" wrapText="1"/>
    </xf>
    <xf numFmtId="164" fontId="8" fillId="0" borderId="0" xfId="0" applyNumberFormat="1" applyFont="1" applyFill="1" applyAlignment="1">
      <alignment horizontal="center" vertical="center" wrapText="1"/>
    </xf>
    <xf numFmtId="164" fontId="8" fillId="0" borderId="3" xfId="0" applyNumberFormat="1" applyFont="1" applyBorder="1" applyAlignment="1">
      <alignment horizontal="center" vertical="center" wrapText="1"/>
    </xf>
    <xf numFmtId="2" fontId="8" fillId="0" borderId="10" xfId="0" applyNumberFormat="1" applyFont="1" applyFill="1" applyBorder="1" applyAlignment="1">
      <alignment horizontal="center" vertical="center" wrapText="1"/>
    </xf>
    <xf numFmtId="2" fontId="8" fillId="0" borderId="16" xfId="0" applyNumberFormat="1" applyFont="1" applyFill="1" applyBorder="1" applyAlignment="1">
      <alignment horizontal="center" vertical="center" wrapText="1"/>
    </xf>
    <xf numFmtId="164" fontId="8" fillId="0" borderId="10" xfId="0" applyNumberFormat="1" applyFont="1" applyBorder="1" applyAlignment="1">
      <alignment horizontal="center" vertical="center" wrapText="1"/>
    </xf>
    <xf numFmtId="164" fontId="8" fillId="2" borderId="14" xfId="0" applyNumberFormat="1" applyFont="1" applyFill="1" applyBorder="1" applyAlignment="1">
      <alignment horizontal="left" vertical="center" wrapText="1"/>
    </xf>
    <xf numFmtId="164" fontId="8" fillId="0" borderId="8" xfId="0" applyNumberFormat="1" applyFont="1" applyBorder="1" applyAlignment="1">
      <alignment horizontal="center" vertical="center" wrapText="1"/>
    </xf>
    <xf numFmtId="164" fontId="7" fillId="0" borderId="0" xfId="0" applyNumberFormat="1" applyFont="1" applyFill="1" applyBorder="1" applyAlignment="1">
      <alignment horizontal="left" vertical="center" wrapText="1"/>
    </xf>
    <xf numFmtId="164" fontId="7" fillId="0" borderId="0" xfId="0" applyNumberFormat="1"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65" fontId="8" fillId="0" borderId="0" xfId="0" applyNumberFormat="1" applyFont="1" applyFill="1" applyAlignment="1">
      <alignment horizontal="center" vertical="center" wrapText="1"/>
    </xf>
    <xf numFmtId="164" fontId="8" fillId="0" borderId="4" xfId="0" applyNumberFormat="1" applyFont="1" applyBorder="1" applyAlignment="1">
      <alignment horizontal="center" vertical="center" wrapText="1"/>
    </xf>
    <xf numFmtId="2" fontId="8"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0" borderId="0" xfId="0" applyFont="1" applyBorder="1" applyAlignment="1">
      <alignment horizontal="center" vertical="center" wrapText="1"/>
    </xf>
    <xf numFmtId="165" fontId="8" fillId="0" borderId="24" xfId="0" applyNumberFormat="1" applyFont="1" applyBorder="1" applyAlignment="1">
      <alignment horizontal="center" vertical="center" wrapText="1"/>
    </xf>
    <xf numFmtId="165" fontId="8" fillId="0" borderId="0" xfId="0" applyNumberFormat="1" applyFont="1" applyBorder="1" applyAlignment="1">
      <alignment horizontal="center" vertical="center" wrapText="1"/>
    </xf>
    <xf numFmtId="165" fontId="8" fillId="0" borderId="23"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65" fontId="8" fillId="0" borderId="24" xfId="0" applyNumberFormat="1" applyFont="1" applyFill="1" applyBorder="1" applyAlignment="1">
      <alignment horizontal="center" vertical="center" wrapText="1"/>
    </xf>
    <xf numFmtId="164" fontId="8" fillId="0" borderId="0" xfId="0" applyNumberFormat="1" applyFont="1" applyAlignment="1">
      <alignment vertical="center" wrapText="1"/>
    </xf>
    <xf numFmtId="0" fontId="7" fillId="0" borderId="0" xfId="0" applyFont="1" applyAlignment="1">
      <alignment vertical="center" wrapText="1"/>
    </xf>
    <xf numFmtId="165" fontId="8" fillId="0" borderId="2"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164" fontId="8" fillId="0" borderId="21" xfId="0" applyNumberFormat="1" applyFont="1" applyFill="1" applyBorder="1" applyAlignment="1">
      <alignment horizontal="center" vertical="center" wrapText="1"/>
    </xf>
    <xf numFmtId="2" fontId="8" fillId="0" borderId="21"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2" fontId="8" fillId="0" borderId="0"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2" fontId="8" fillId="0" borderId="3"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Alignment="1">
      <alignment horizontal="left" vertical="center" wrapText="1"/>
    </xf>
    <xf numFmtId="2" fontId="8" fillId="0" borderId="3" xfId="0" applyNumberFormat="1" applyFont="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164" fontId="8" fillId="4" borderId="9" xfId="0" applyNumberFormat="1" applyFont="1" applyFill="1" applyBorder="1" applyAlignment="1">
      <alignment horizontal="center" vertical="center" wrapText="1"/>
    </xf>
    <xf numFmtId="164" fontId="7" fillId="4" borderId="7" xfId="0" applyNumberFormat="1" applyFont="1" applyFill="1" applyBorder="1" applyAlignment="1">
      <alignment horizontal="left" vertical="center" wrapText="1"/>
    </xf>
    <xf numFmtId="2" fontId="7" fillId="4" borderId="9" xfId="0" applyNumberFormat="1" applyFont="1" applyFill="1" applyBorder="1" applyAlignment="1">
      <alignment horizontal="center" vertical="center" wrapText="1"/>
    </xf>
    <xf numFmtId="0" fontId="7" fillId="4"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164" fontId="4" fillId="5" borderId="9" xfId="0" applyNumberFormat="1" applyFont="1" applyFill="1" applyBorder="1" applyAlignment="1">
      <alignment horizontal="center" vertical="center" wrapText="1"/>
    </xf>
    <xf numFmtId="0" fontId="4" fillId="0" borderId="0" xfId="0" applyFont="1" applyAlignment="1">
      <alignment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Alignment="1">
      <alignment horizontal="center" vertical="center" wrapText="1"/>
    </xf>
    <xf numFmtId="164" fontId="3" fillId="0" borderId="0"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2" fontId="3"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wrapText="1"/>
    </xf>
    <xf numFmtId="0" fontId="3" fillId="0" borderId="0" xfId="0" applyFont="1" applyFill="1" applyAlignment="1">
      <alignment vertical="center" wrapText="1"/>
    </xf>
    <xf numFmtId="2" fontId="3" fillId="0" borderId="0" xfId="0" applyNumberFormat="1" applyFont="1" applyBorder="1" applyAlignment="1">
      <alignment horizontal="center" vertical="center" wrapText="1"/>
    </xf>
    <xf numFmtId="0" fontId="3" fillId="0" borderId="0" xfId="0" applyFont="1" applyFill="1" applyAlignment="1">
      <alignment horizontal="center" vertical="center" wrapText="1"/>
    </xf>
    <xf numFmtId="0" fontId="3" fillId="2" borderId="11" xfId="0" applyFont="1" applyFill="1" applyBorder="1" applyAlignment="1">
      <alignment horizontal="left" vertical="center" wrapText="1"/>
    </xf>
    <xf numFmtId="2" fontId="3" fillId="0" borderId="0" xfId="0" applyNumberFormat="1" applyFont="1" applyAlignment="1">
      <alignment vertical="center" wrapText="1"/>
    </xf>
    <xf numFmtId="2" fontId="3" fillId="0" borderId="0" xfId="0" applyNumberFormat="1" applyFont="1" applyFill="1" applyAlignment="1">
      <alignment vertical="center" wrapText="1"/>
    </xf>
    <xf numFmtId="0" fontId="3" fillId="7"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26" xfId="0" applyNumberFormat="1" applyFont="1" applyBorder="1" applyAlignment="1">
      <alignment horizontal="center" vertical="center" wrapText="1"/>
    </xf>
    <xf numFmtId="164" fontId="8" fillId="0" borderId="22" xfId="0" applyNumberFormat="1" applyFont="1" applyBorder="1" applyAlignment="1">
      <alignment horizontal="center" vertical="center" wrapText="1"/>
    </xf>
    <xf numFmtId="0" fontId="8" fillId="8" borderId="3" xfId="0" applyFont="1" applyFill="1" applyBorder="1" applyAlignment="1">
      <alignment horizontal="center" vertical="center" wrapText="1"/>
    </xf>
    <xf numFmtId="0" fontId="8" fillId="8" borderId="3" xfId="0" applyFont="1" applyFill="1" applyBorder="1" applyAlignment="1">
      <alignment horizontal="right" vertical="center" wrapText="1"/>
    </xf>
    <xf numFmtId="0" fontId="8" fillId="9" borderId="0" xfId="0" applyFont="1" applyFill="1" applyBorder="1" applyAlignment="1">
      <alignment horizontal="center" vertical="center" wrapText="1"/>
    </xf>
    <xf numFmtId="164" fontId="8" fillId="0" borderId="0" xfId="0" applyNumberFormat="1" applyFont="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8" fillId="0" borderId="1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2" fontId="8" fillId="0" borderId="11" xfId="0" applyNumberFormat="1" applyFont="1" applyFill="1" applyBorder="1" applyAlignment="1">
      <alignment horizontal="center" vertical="center" wrapText="1"/>
    </xf>
    <xf numFmtId="2" fontId="8" fillId="0" borderId="12" xfId="0" applyNumberFormat="1" applyFont="1" applyFill="1" applyBorder="1" applyAlignment="1">
      <alignment horizontal="center" vertical="center" wrapText="1"/>
    </xf>
    <xf numFmtId="2" fontId="8" fillId="0" borderId="12" xfId="0" applyNumberFormat="1" applyFont="1" applyBorder="1" applyAlignment="1">
      <alignment horizontal="center" vertical="center" wrapText="1"/>
    </xf>
    <xf numFmtId="164" fontId="8" fillId="6" borderId="13" xfId="0" applyNumberFormat="1" applyFont="1" applyFill="1" applyBorder="1" applyAlignment="1">
      <alignment horizontal="center" vertical="center" wrapText="1"/>
    </xf>
    <xf numFmtId="164" fontId="8" fillId="0" borderId="12" xfId="0" applyNumberFormat="1" applyFont="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Alignment="1">
      <alignment vertical="center" wrapText="1"/>
    </xf>
    <xf numFmtId="164" fontId="15" fillId="0" borderId="0" xfId="0" applyNumberFormat="1" applyFont="1" applyFill="1" applyAlignment="1">
      <alignment vertical="center" wrapText="1"/>
    </xf>
    <xf numFmtId="0" fontId="15" fillId="0" borderId="0" xfId="0" applyFont="1" applyFill="1" applyAlignment="1">
      <alignment horizontal="center" vertical="center" wrapText="1"/>
    </xf>
    <xf numFmtId="0" fontId="8" fillId="0" borderId="0" xfId="0" applyFont="1" applyFill="1" applyAlignment="1">
      <alignment vertical="center" wrapText="1"/>
    </xf>
    <xf numFmtId="0" fontId="8" fillId="0" borderId="13" xfId="0" applyFont="1" applyFill="1" applyBorder="1" applyAlignment="1">
      <alignment horizontal="center" vertical="center" wrapText="1"/>
    </xf>
    <xf numFmtId="166" fontId="8" fillId="0" borderId="2"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6" fillId="0" borderId="4" xfId="0" applyNumberFormat="1"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164" fontId="16" fillId="3" borderId="0"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4" fontId="16" fillId="0" borderId="7"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2" fontId="16" fillId="0" borderId="12" xfId="0" applyNumberFormat="1" applyFont="1" applyFill="1" applyBorder="1" applyAlignment="1">
      <alignment horizontal="center" vertical="center" wrapText="1"/>
    </xf>
    <xf numFmtId="2" fontId="1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164" fontId="16" fillId="0" borderId="12"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9" xfId="0" applyFont="1" applyFill="1" applyBorder="1" applyAlignment="1">
      <alignment horizontal="center" vertical="center" wrapText="1"/>
    </xf>
    <xf numFmtId="2" fontId="16" fillId="0" borderId="6" xfId="0" applyNumberFormat="1" applyFont="1" applyFill="1" applyBorder="1" applyAlignment="1">
      <alignment horizontal="center" vertical="center" wrapText="1"/>
    </xf>
    <xf numFmtId="2" fontId="16" fillId="0" borderId="7" xfId="0" applyNumberFormat="1" applyFont="1" applyFill="1" applyBorder="1" applyAlignment="1">
      <alignment horizontal="center" vertical="center" wrapText="1"/>
    </xf>
    <xf numFmtId="166" fontId="16" fillId="0" borderId="7"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5" fontId="16" fillId="0" borderId="24" xfId="0" applyNumberFormat="1" applyFont="1" applyFill="1" applyBorder="1" applyAlignment="1">
      <alignment horizontal="center" vertical="center" wrapText="1"/>
    </xf>
    <xf numFmtId="165" fontId="16" fillId="0" borderId="23" xfId="0" applyNumberFormat="1" applyFont="1" applyFill="1" applyBorder="1" applyAlignment="1">
      <alignment horizontal="center" vertical="center" wrapText="1"/>
    </xf>
    <xf numFmtId="164" fontId="16" fillId="0" borderId="23"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164" fontId="16" fillId="0" borderId="21"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0" borderId="29" xfId="0" applyNumberFormat="1" applyFont="1" applyFill="1" applyBorder="1" applyAlignment="1">
      <alignment horizontal="center" vertical="center" wrapText="1"/>
    </xf>
    <xf numFmtId="2" fontId="16" fillId="0" borderId="4"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2"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8" fillId="0" borderId="11"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164" fontId="16" fillId="3" borderId="29" xfId="0" applyNumberFormat="1" applyFont="1" applyFill="1" applyBorder="1" applyAlignment="1">
      <alignment horizontal="center" vertical="center" wrapText="1"/>
    </xf>
    <xf numFmtId="164" fontId="16" fillId="0" borderId="3" xfId="0" quotePrefix="1" applyNumberFormat="1" applyFont="1" applyFill="1" applyBorder="1" applyAlignment="1">
      <alignment horizontal="center" vertical="center" wrapText="1"/>
    </xf>
    <xf numFmtId="164" fontId="16" fillId="0" borderId="7" xfId="0" quotePrefix="1" applyNumberFormat="1" applyFont="1" applyFill="1" applyBorder="1" applyAlignment="1">
      <alignment horizontal="center" vertical="center" wrapText="1"/>
    </xf>
    <xf numFmtId="165" fontId="16" fillId="0" borderId="30" xfId="0" applyNumberFormat="1" applyFont="1" applyFill="1" applyBorder="1" applyAlignment="1">
      <alignment horizontal="center" vertical="center" wrapText="1"/>
    </xf>
    <xf numFmtId="165" fontId="16" fillId="0" borderId="7" xfId="0" applyNumberFormat="1" applyFont="1" applyFill="1" applyBorder="1" applyAlignment="1">
      <alignment horizontal="center" vertical="center" wrapText="1"/>
    </xf>
    <xf numFmtId="165" fontId="16" fillId="0" borderId="31" xfId="0" applyNumberFormat="1" applyFont="1" applyFill="1" applyBorder="1" applyAlignment="1">
      <alignment horizontal="center" vertical="center" wrapText="1"/>
    </xf>
    <xf numFmtId="164" fontId="16" fillId="0" borderId="31" xfId="0" applyNumberFormat="1" applyFont="1" applyFill="1" applyBorder="1" applyAlignment="1">
      <alignment horizontal="center" vertical="center" wrapText="1"/>
    </xf>
    <xf numFmtId="164" fontId="8" fillId="0" borderId="34" xfId="0" applyNumberFormat="1" applyFont="1" applyBorder="1" applyAlignment="1">
      <alignment horizontal="center" vertical="center" wrapText="1"/>
    </xf>
    <xf numFmtId="164" fontId="16" fillId="0" borderId="35" xfId="0" applyNumberFormat="1" applyFont="1" applyFill="1" applyBorder="1" applyAlignment="1">
      <alignment horizontal="center" vertical="center" wrapText="1"/>
    </xf>
    <xf numFmtId="164" fontId="8" fillId="0" borderId="0" xfId="0" applyNumberFormat="1" applyFont="1" applyAlignment="1">
      <alignment horizontal="center" vertical="center" wrapText="1"/>
    </xf>
    <xf numFmtId="164" fontId="8" fillId="0" borderId="18" xfId="0" applyNumberFormat="1" applyFont="1" applyFill="1" applyBorder="1" applyAlignment="1">
      <alignment vertical="center" wrapText="1"/>
    </xf>
    <xf numFmtId="164" fontId="8" fillId="0" borderId="19" xfId="0" applyNumberFormat="1" applyFont="1" applyFill="1" applyBorder="1" applyAlignment="1">
      <alignment vertical="center" wrapText="1"/>
    </xf>
    <xf numFmtId="164" fontId="7" fillId="4" borderId="1" xfId="0" applyNumberFormat="1" applyFont="1" applyFill="1" applyBorder="1" applyAlignment="1">
      <alignment horizontal="center" vertical="center" wrapText="1"/>
    </xf>
    <xf numFmtId="164" fontId="7" fillId="4" borderId="6" xfId="0" applyNumberFormat="1" applyFont="1" applyFill="1" applyBorder="1" applyAlignment="1">
      <alignment horizontal="center" vertical="center" wrapText="1"/>
    </xf>
    <xf numFmtId="164" fontId="8" fillId="2" borderId="15" xfId="0" applyNumberFormat="1" applyFont="1" applyFill="1" applyBorder="1" applyAlignment="1">
      <alignment horizontal="center" vertical="center" wrapText="1"/>
    </xf>
    <xf numFmtId="164" fontId="8" fillId="2" borderId="16" xfId="0" applyNumberFormat="1" applyFont="1" applyFill="1" applyBorder="1" applyAlignment="1">
      <alignment horizontal="center" vertical="center" wrapText="1"/>
    </xf>
    <xf numFmtId="164" fontId="8" fillId="2" borderId="17"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0" xfId="0" applyFont="1" applyBorder="1" applyAlignment="1">
      <alignment horizontal="left"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165" fontId="7" fillId="4" borderId="5" xfId="0" applyNumberFormat="1" applyFont="1" applyFill="1" applyBorder="1" applyAlignment="1">
      <alignment horizontal="center" vertical="center" wrapText="1"/>
    </xf>
    <xf numFmtId="164" fontId="8" fillId="2" borderId="32" xfId="0" applyNumberFormat="1" applyFont="1" applyFill="1" applyBorder="1" applyAlignment="1">
      <alignment horizontal="center" vertical="center" wrapText="1"/>
    </xf>
    <xf numFmtId="164" fontId="8" fillId="2" borderId="33"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2" fontId="7" fillId="4" borderId="5" xfId="0" applyNumberFormat="1" applyFont="1" applyFill="1" applyBorder="1" applyAlignment="1">
      <alignment horizontal="center" vertical="center" wrapText="1"/>
    </xf>
    <xf numFmtId="0" fontId="7" fillId="0" borderId="7" xfId="0" applyFont="1" applyBorder="1" applyAlignment="1">
      <alignment horizontal="left" vertical="center" wrapText="1"/>
    </xf>
    <xf numFmtId="0" fontId="4" fillId="0" borderId="7" xfId="0" applyFont="1" applyBorder="1" applyAlignment="1">
      <alignment horizontal="left" vertical="center" wrapText="1"/>
    </xf>
    <xf numFmtId="0" fontId="8" fillId="0" borderId="0"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7" fillId="0" borderId="7" xfId="0" applyFont="1" applyFill="1" applyBorder="1" applyAlignment="1">
      <alignment horizontal="left" vertical="center" wrapText="1"/>
    </xf>
    <xf numFmtId="2" fontId="18" fillId="0" borderId="0" xfId="0" applyNumberFormat="1" applyFont="1" applyFill="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vertical="center" wrapText="1"/>
    </xf>
    <xf numFmtId="2" fontId="18" fillId="0" borderId="0" xfId="0" applyNumberFormat="1" applyFont="1" applyFill="1" applyAlignment="1">
      <alignment vertical="center" wrapText="1"/>
    </xf>
    <xf numFmtId="164" fontId="18" fillId="0" borderId="0" xfId="0" applyNumberFormat="1" applyFont="1" applyFill="1" applyBorder="1" applyAlignment="1">
      <alignment horizontal="center" vertical="center" wrapText="1"/>
    </xf>
    <xf numFmtId="164" fontId="18" fillId="0" borderId="0" xfId="0" applyNumberFormat="1" applyFont="1" applyFill="1" applyAlignment="1">
      <alignment horizontal="center" vertical="center" wrapText="1"/>
    </xf>
    <xf numFmtId="2"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2" fontId="18" fillId="0" borderId="0" xfId="0" applyNumberFormat="1" applyFont="1" applyAlignment="1">
      <alignment vertical="center" wrapText="1"/>
    </xf>
    <xf numFmtId="0" fontId="17" fillId="0" borderId="7" xfId="0" applyFont="1" applyBorder="1" applyAlignment="1">
      <alignment horizontal="left" vertical="center" wrapText="1"/>
    </xf>
    <xf numFmtId="0" fontId="16" fillId="0"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164" fontId="7" fillId="4" borderId="4" xfId="0" applyNumberFormat="1"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29" xfId="0" applyFont="1" applyFill="1" applyBorder="1" applyAlignment="1">
      <alignment horizontal="center" vertical="center" wrapText="1"/>
    </xf>
  </cellXfs>
  <cellStyles count="1">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s>
  <tableStyles count="0" defaultTableStyle="TableStyleMedium9" defaultPivotStyle="PivotStyleLight16"/>
  <colors>
    <mruColors>
      <color rgb="FFFFFF9B"/>
      <color rgb="FFBEE395"/>
      <color rgb="FFFF5757"/>
      <color rgb="FFABDB7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
  <sheetViews>
    <sheetView zoomScale="96" zoomScaleNormal="96" workbookViewId="0">
      <selection sqref="A1:A2"/>
    </sheetView>
  </sheetViews>
  <sheetFormatPr defaultRowHeight="12" x14ac:dyDescent="0.2"/>
  <cols>
    <col min="1" max="1" width="26.7109375" style="3" customWidth="1"/>
    <col min="2" max="11" width="10.7109375" style="3" customWidth="1"/>
    <col min="12" max="13" width="10.7109375" style="89" customWidth="1"/>
    <col min="14" max="16" width="8.7109375" style="3" customWidth="1"/>
    <col min="17" max="17" width="14.7109375" style="3" customWidth="1"/>
    <col min="18" max="16384" width="9.140625" style="3"/>
  </cols>
  <sheetData>
    <row r="1" spans="1:13" ht="20.100000000000001" customHeight="1" thickBot="1" x14ac:dyDescent="0.25">
      <c r="A1" s="170" t="s">
        <v>1</v>
      </c>
      <c r="B1" s="168" t="s">
        <v>18</v>
      </c>
      <c r="C1" s="169"/>
      <c r="D1" s="169"/>
      <c r="E1" s="169"/>
      <c r="F1" s="169"/>
      <c r="G1" s="169"/>
      <c r="H1" s="169"/>
      <c r="I1" s="5"/>
      <c r="J1" s="5"/>
      <c r="K1" s="5"/>
      <c r="L1" s="5"/>
      <c r="M1" s="156"/>
    </row>
    <row r="2" spans="1:13" ht="20.100000000000001" customHeight="1" thickBot="1" x14ac:dyDescent="0.25">
      <c r="A2" s="171"/>
      <c r="B2" s="59" t="s">
        <v>2</v>
      </c>
      <c r="C2" s="59" t="s">
        <v>3</v>
      </c>
      <c r="D2" s="59" t="s">
        <v>4</v>
      </c>
      <c r="E2" s="59" t="s">
        <v>5</v>
      </c>
      <c r="F2" s="59" t="s">
        <v>55</v>
      </c>
      <c r="G2" s="59" t="s">
        <v>56</v>
      </c>
      <c r="H2" s="59" t="s">
        <v>57</v>
      </c>
      <c r="I2" s="59" t="s">
        <v>37</v>
      </c>
      <c r="J2" s="59" t="s">
        <v>58</v>
      </c>
      <c r="K2" s="59" t="s">
        <v>45</v>
      </c>
      <c r="L2" s="59" t="s">
        <v>93</v>
      </c>
      <c r="M2" s="59" t="s">
        <v>94</v>
      </c>
    </row>
    <row r="3" spans="1:13" ht="20.100000000000001" customHeight="1" x14ac:dyDescent="0.2">
      <c r="A3" s="4" t="s">
        <v>49</v>
      </c>
      <c r="B3" s="101"/>
      <c r="C3" s="5">
        <v>5.7</v>
      </c>
      <c r="D3" s="5">
        <v>11.4</v>
      </c>
      <c r="E3" s="5">
        <v>5.9</v>
      </c>
      <c r="F3" s="5">
        <v>22.4</v>
      </c>
      <c r="G3" s="5">
        <v>38.6</v>
      </c>
      <c r="H3" s="5">
        <v>43</v>
      </c>
      <c r="I3" s="9">
        <v>10.9</v>
      </c>
      <c r="J3" s="9">
        <v>47.6</v>
      </c>
      <c r="K3" s="117">
        <v>13.81</v>
      </c>
      <c r="L3" s="117">
        <v>41.7</v>
      </c>
      <c r="M3" s="125">
        <v>45.2</v>
      </c>
    </row>
    <row r="4" spans="1:13" ht="20.100000000000001" customHeight="1" x14ac:dyDescent="0.2">
      <c r="A4" s="7" t="s">
        <v>50</v>
      </c>
      <c r="B4" s="102">
        <v>5.7</v>
      </c>
      <c r="C4" s="8"/>
      <c r="D4" s="9">
        <v>17.100000000000001</v>
      </c>
      <c r="E4" s="9">
        <v>11.6</v>
      </c>
      <c r="F4" s="9">
        <v>20.8</v>
      </c>
      <c r="G4" s="9">
        <v>34.799999999999997</v>
      </c>
      <c r="H4" s="9">
        <v>39.4</v>
      </c>
      <c r="I4" s="157">
        <v>13</v>
      </c>
      <c r="J4" s="9">
        <v>45.5</v>
      </c>
      <c r="K4" s="117">
        <v>12.93</v>
      </c>
      <c r="L4" s="117">
        <v>37.5</v>
      </c>
      <c r="M4" s="125">
        <v>41.2</v>
      </c>
    </row>
    <row r="5" spans="1:13" ht="20.100000000000001" customHeight="1" x14ac:dyDescent="0.2">
      <c r="A5" s="7" t="s">
        <v>51</v>
      </c>
      <c r="B5" s="102">
        <v>11.4</v>
      </c>
      <c r="C5" s="9">
        <v>17.100000000000001</v>
      </c>
      <c r="D5" s="8"/>
      <c r="E5" s="9">
        <v>5.5</v>
      </c>
      <c r="F5" s="9">
        <v>34.9</v>
      </c>
      <c r="G5" s="9">
        <v>42.6</v>
      </c>
      <c r="H5" s="9">
        <v>48</v>
      </c>
      <c r="I5" s="9">
        <v>18.3</v>
      </c>
      <c r="J5" s="9">
        <v>59.3</v>
      </c>
      <c r="K5" s="117">
        <v>24.45</v>
      </c>
      <c r="L5" s="117">
        <v>45.2</v>
      </c>
      <c r="M5" s="125">
        <v>48.5</v>
      </c>
    </row>
    <row r="6" spans="1:13" ht="20.100000000000001" customHeight="1" x14ac:dyDescent="0.2">
      <c r="A6" s="7" t="s">
        <v>52</v>
      </c>
      <c r="B6" s="102">
        <v>5.9</v>
      </c>
      <c r="C6" s="9">
        <v>11.6</v>
      </c>
      <c r="D6" s="9">
        <v>5.5</v>
      </c>
      <c r="E6" s="8"/>
      <c r="F6" s="9">
        <v>26.8</v>
      </c>
      <c r="G6" s="9">
        <v>42.1</v>
      </c>
      <c r="H6" s="9">
        <v>46.5</v>
      </c>
      <c r="I6" s="9">
        <v>11.8</v>
      </c>
      <c r="J6" s="9">
        <v>52.2</v>
      </c>
      <c r="K6" s="117">
        <v>17.72</v>
      </c>
      <c r="L6" s="117">
        <v>46</v>
      </c>
      <c r="M6" s="125">
        <v>49.3</v>
      </c>
    </row>
    <row r="7" spans="1:13" ht="20.100000000000001" customHeight="1" x14ac:dyDescent="0.2">
      <c r="A7" s="7" t="s">
        <v>40</v>
      </c>
      <c r="B7" s="102">
        <v>22.39</v>
      </c>
      <c r="C7" s="9">
        <v>20.82</v>
      </c>
      <c r="D7" s="9">
        <v>34.89</v>
      </c>
      <c r="E7" s="9">
        <v>26.82</v>
      </c>
      <c r="F7" s="8"/>
      <c r="G7" s="9">
        <v>52.55</v>
      </c>
      <c r="H7" s="9">
        <v>55.29</v>
      </c>
      <c r="I7" s="9">
        <f>8.5+6.9</f>
        <v>15.4</v>
      </c>
      <c r="J7" s="9">
        <v>27.3</v>
      </c>
      <c r="K7" s="117">
        <v>7.96</v>
      </c>
      <c r="L7" s="117">
        <v>47.7</v>
      </c>
      <c r="M7" s="125">
        <v>52.2</v>
      </c>
    </row>
    <row r="8" spans="1:13" ht="20.100000000000001" customHeight="1" x14ac:dyDescent="0.2">
      <c r="A8" s="7" t="s">
        <v>41</v>
      </c>
      <c r="B8" s="102">
        <v>38.6</v>
      </c>
      <c r="C8" s="9">
        <v>34.799999999999997</v>
      </c>
      <c r="D8" s="9">
        <v>42.6</v>
      </c>
      <c r="E8" s="9">
        <v>42.1</v>
      </c>
      <c r="F8" s="9">
        <v>52.6</v>
      </c>
      <c r="G8" s="8"/>
      <c r="H8" s="9">
        <v>6</v>
      </c>
      <c r="I8" s="9">
        <v>53.6</v>
      </c>
      <c r="J8" s="9">
        <v>57.3</v>
      </c>
      <c r="K8" s="117">
        <v>43.95</v>
      </c>
      <c r="L8" s="117">
        <v>7.8</v>
      </c>
      <c r="M8" s="125">
        <v>12.4</v>
      </c>
    </row>
    <row r="9" spans="1:13" ht="20.100000000000001" customHeight="1" x14ac:dyDescent="0.2">
      <c r="A9" s="7" t="s">
        <v>42</v>
      </c>
      <c r="B9" s="102">
        <v>43</v>
      </c>
      <c r="C9" s="9">
        <v>39.4</v>
      </c>
      <c r="D9" s="9">
        <v>48</v>
      </c>
      <c r="E9" s="9">
        <v>46.5</v>
      </c>
      <c r="F9" s="9">
        <v>55.3</v>
      </c>
      <c r="G9" s="9">
        <v>6</v>
      </c>
      <c r="H9" s="8"/>
      <c r="I9" s="9">
        <v>59.2</v>
      </c>
      <c r="J9" s="9">
        <v>62</v>
      </c>
      <c r="K9" s="117">
        <v>49.3</v>
      </c>
      <c r="L9" s="117">
        <v>2</v>
      </c>
      <c r="M9" s="125">
        <v>6.6</v>
      </c>
    </row>
    <row r="10" spans="1:13" ht="20.100000000000001" customHeight="1" x14ac:dyDescent="0.2">
      <c r="A10" s="26" t="s">
        <v>53</v>
      </c>
      <c r="B10" s="102">
        <f>10.4+0.5</f>
        <v>10.9</v>
      </c>
      <c r="C10" s="9">
        <v>13</v>
      </c>
      <c r="D10" s="9">
        <f>11.8+6.5</f>
        <v>18.3</v>
      </c>
      <c r="E10" s="9">
        <v>11.8</v>
      </c>
      <c r="F10" s="9">
        <v>15.4</v>
      </c>
      <c r="G10" s="9">
        <v>53.6</v>
      </c>
      <c r="H10" s="9">
        <v>59.2</v>
      </c>
      <c r="I10" s="8"/>
      <c r="J10" s="9">
        <v>42.8</v>
      </c>
      <c r="K10" s="117">
        <v>7.77</v>
      </c>
      <c r="L10" s="117">
        <v>50.3</v>
      </c>
      <c r="M10" s="125">
        <v>54.3</v>
      </c>
    </row>
    <row r="11" spans="1:13" ht="20.100000000000001" customHeight="1" x14ac:dyDescent="0.2">
      <c r="A11" s="26" t="s">
        <v>43</v>
      </c>
      <c r="B11" s="9">
        <v>47.6</v>
      </c>
      <c r="C11" s="9">
        <v>45.5</v>
      </c>
      <c r="D11" s="9">
        <v>59.3</v>
      </c>
      <c r="E11" s="9">
        <v>52.2</v>
      </c>
      <c r="F11" s="9">
        <v>27.3</v>
      </c>
      <c r="G11" s="9">
        <v>57.25</v>
      </c>
      <c r="H11" s="9">
        <v>62</v>
      </c>
      <c r="I11" s="9">
        <v>42.75</v>
      </c>
      <c r="J11" s="8"/>
      <c r="K11" s="117">
        <v>33.29</v>
      </c>
      <c r="L11" s="117">
        <v>60.9</v>
      </c>
      <c r="M11" s="125">
        <v>65.900000000000006</v>
      </c>
    </row>
    <row r="12" spans="1:13" ht="20.100000000000001" customHeight="1" x14ac:dyDescent="0.2">
      <c r="A12" s="116" t="s">
        <v>54</v>
      </c>
      <c r="B12" s="117">
        <v>13.81</v>
      </c>
      <c r="C12" s="117">
        <v>12.93</v>
      </c>
      <c r="D12" s="117">
        <v>24.45</v>
      </c>
      <c r="E12" s="117">
        <v>17.72</v>
      </c>
      <c r="F12" s="117">
        <v>7.96</v>
      </c>
      <c r="G12" s="117">
        <v>43.95</v>
      </c>
      <c r="H12" s="117">
        <v>49.3</v>
      </c>
      <c r="I12" s="117">
        <v>7.77</v>
      </c>
      <c r="J12" s="117">
        <v>33.29</v>
      </c>
      <c r="K12" s="118"/>
      <c r="L12" s="117">
        <v>47.8</v>
      </c>
      <c r="M12" s="125">
        <v>52.1</v>
      </c>
    </row>
    <row r="13" spans="1:13" s="89" customFormat="1" ht="20.100000000000001" customHeight="1" x14ac:dyDescent="0.2">
      <c r="A13" s="116" t="s">
        <v>99</v>
      </c>
      <c r="B13" s="117">
        <v>41.67</v>
      </c>
      <c r="C13" s="117">
        <v>37.49</v>
      </c>
      <c r="D13" s="117">
        <v>45.22</v>
      </c>
      <c r="E13" s="117">
        <v>45.98</v>
      </c>
      <c r="F13" s="117">
        <v>47.73</v>
      </c>
      <c r="G13" s="117">
        <v>7.8</v>
      </c>
      <c r="H13" s="117">
        <v>2</v>
      </c>
      <c r="I13" s="117">
        <v>50.26</v>
      </c>
      <c r="J13" s="117">
        <v>60.93</v>
      </c>
      <c r="K13" s="117">
        <v>47.81</v>
      </c>
      <c r="L13" s="118"/>
      <c r="M13" s="125">
        <v>4.5999999999999996</v>
      </c>
    </row>
    <row r="14" spans="1:13" s="89" customFormat="1" ht="20.100000000000001" customHeight="1" thickBot="1" x14ac:dyDescent="0.25">
      <c r="A14" s="119" t="s">
        <v>100</v>
      </c>
      <c r="B14" s="121">
        <v>45.18</v>
      </c>
      <c r="C14" s="121">
        <v>41.23</v>
      </c>
      <c r="D14" s="121">
        <v>48.49</v>
      </c>
      <c r="E14" s="121">
        <v>49.3</v>
      </c>
      <c r="F14" s="121">
        <v>52.23</v>
      </c>
      <c r="G14" s="121">
        <v>12.4</v>
      </c>
      <c r="H14" s="121">
        <v>6.6</v>
      </c>
      <c r="I14" s="121">
        <v>54.33</v>
      </c>
      <c r="J14" s="121">
        <v>65.930000000000007</v>
      </c>
      <c r="K14" s="121">
        <v>52.09</v>
      </c>
      <c r="L14" s="121">
        <v>4.5999999999999996</v>
      </c>
      <c r="M14" s="158"/>
    </row>
    <row r="15" spans="1:13" ht="20.100000000000001" customHeight="1" x14ac:dyDescent="0.2">
      <c r="B15" s="89"/>
      <c r="C15" s="89"/>
      <c r="D15" s="89"/>
      <c r="E15" s="89"/>
      <c r="F15" s="89"/>
      <c r="G15" s="89"/>
      <c r="H15" s="89"/>
      <c r="I15" s="89"/>
      <c r="J15" s="89"/>
      <c r="K15" s="89"/>
    </row>
    <row r="16" spans="1:13" ht="20.100000000000001" customHeight="1" x14ac:dyDescent="0.2">
      <c r="B16" s="89"/>
      <c r="C16" s="89"/>
      <c r="D16" s="89"/>
      <c r="E16" s="89"/>
      <c r="F16" s="89"/>
      <c r="G16" s="89"/>
      <c r="H16" s="89"/>
      <c r="I16" s="89"/>
      <c r="J16" s="89"/>
      <c r="K16" s="89"/>
    </row>
    <row r="17" spans="1:17" ht="20.100000000000001" customHeight="1" x14ac:dyDescent="0.2">
      <c r="A17" s="15" t="s">
        <v>14</v>
      </c>
      <c r="B17" s="12">
        <v>16.36</v>
      </c>
      <c r="C17" s="12">
        <v>16.48</v>
      </c>
      <c r="D17" s="12">
        <v>16.27</v>
      </c>
      <c r="E17" s="12">
        <v>16.54</v>
      </c>
      <c r="F17" s="12">
        <v>17.72</v>
      </c>
      <c r="G17" s="12">
        <v>16.309999999999999</v>
      </c>
      <c r="H17" s="12">
        <v>16.32</v>
      </c>
      <c r="I17" s="13">
        <v>16.190000000000001</v>
      </c>
      <c r="J17" s="13">
        <v>16.309999999999999</v>
      </c>
      <c r="K17" s="13">
        <v>16.39</v>
      </c>
      <c r="L17" s="13">
        <v>16.28</v>
      </c>
      <c r="M17" s="13">
        <v>16.190000000000001</v>
      </c>
      <c r="N17" s="172" t="s">
        <v>19</v>
      </c>
      <c r="O17" s="173"/>
      <c r="P17" s="174"/>
      <c r="Q17" s="14" t="s">
        <v>84</v>
      </c>
    </row>
    <row r="18" spans="1:17" ht="20.100000000000001" customHeight="1" x14ac:dyDescent="0.2">
      <c r="A18" s="15" t="s">
        <v>20</v>
      </c>
      <c r="B18" s="14" t="s">
        <v>16</v>
      </c>
      <c r="C18" s="16" t="s">
        <v>17</v>
      </c>
      <c r="D18" s="89"/>
      <c r="E18" s="89"/>
      <c r="F18" s="89"/>
      <c r="G18" s="89"/>
      <c r="H18" s="89"/>
      <c r="I18" s="89"/>
      <c r="J18" s="89"/>
      <c r="K18" s="89"/>
      <c r="Q18" s="16" t="s">
        <v>85</v>
      </c>
    </row>
    <row r="19" spans="1:17" ht="20.100000000000001" customHeight="1" x14ac:dyDescent="0.2">
      <c r="B19" s="89"/>
      <c r="C19" s="89"/>
      <c r="D19" s="89"/>
      <c r="E19" s="89"/>
      <c r="F19" s="89"/>
      <c r="G19" s="89"/>
      <c r="H19" s="89"/>
      <c r="I19" s="89"/>
      <c r="J19" s="89"/>
      <c r="K19" s="89"/>
      <c r="Q19" s="16" t="s">
        <v>86</v>
      </c>
    </row>
    <row r="20" spans="1:17" s="10" customFormat="1" ht="9.9499999999999993" customHeight="1" x14ac:dyDescent="0.2">
      <c r="A20" s="17"/>
      <c r="B20" s="17"/>
      <c r="C20" s="17"/>
      <c r="D20" s="6"/>
      <c r="E20" s="6"/>
      <c r="F20" s="6"/>
      <c r="G20" s="6"/>
      <c r="H20" s="6"/>
    </row>
    <row r="21" spans="1:17" ht="20.100000000000001" customHeight="1" thickBot="1" x14ac:dyDescent="0.25">
      <c r="A21" s="60" t="s">
        <v>15</v>
      </c>
      <c r="B21" s="17"/>
      <c r="C21" s="17"/>
      <c r="D21" s="9"/>
      <c r="E21" s="9"/>
      <c r="F21" s="9"/>
      <c r="G21" s="9"/>
      <c r="H21" s="9"/>
      <c r="I21" s="89"/>
      <c r="J21" s="89"/>
      <c r="K21" s="89"/>
    </row>
    <row r="22" spans="1:17" ht="9.9499999999999993" customHeight="1" thickBot="1" x14ac:dyDescent="0.25">
      <c r="A22" s="18"/>
      <c r="B22" s="175"/>
      <c r="C22" s="175"/>
      <c r="D22" s="175"/>
      <c r="E22" s="175"/>
      <c r="F22" s="175"/>
      <c r="G22" s="175"/>
      <c r="H22" s="175"/>
      <c r="I22" s="89"/>
      <c r="J22" s="89"/>
      <c r="K22" s="89"/>
    </row>
    <row r="23" spans="1:17" ht="20.100000000000001" customHeight="1" thickBot="1" x14ac:dyDescent="0.25">
      <c r="A23" s="112" t="s">
        <v>1</v>
      </c>
      <c r="B23" s="59" t="s">
        <v>2</v>
      </c>
      <c r="C23" s="59" t="s">
        <v>3</v>
      </c>
      <c r="D23" s="59" t="s">
        <v>4</v>
      </c>
      <c r="E23" s="59" t="s">
        <v>5</v>
      </c>
      <c r="F23" s="59" t="s">
        <v>55</v>
      </c>
      <c r="G23" s="59" t="s">
        <v>56</v>
      </c>
      <c r="H23" s="59" t="s">
        <v>57</v>
      </c>
      <c r="I23" s="59" t="s">
        <v>37</v>
      </c>
      <c r="J23" s="59" t="s">
        <v>58</v>
      </c>
      <c r="K23" s="59" t="s">
        <v>45</v>
      </c>
      <c r="L23" s="59" t="s">
        <v>93</v>
      </c>
      <c r="M23" s="59" t="s">
        <v>94</v>
      </c>
    </row>
    <row r="24" spans="1:17" ht="20.100000000000001" customHeight="1" x14ac:dyDescent="0.2">
      <c r="A24" s="4" t="s">
        <v>49</v>
      </c>
      <c r="B24" s="19"/>
      <c r="C24" s="5" t="str">
        <f>IF(AND($C$17&gt;(B17/2),B17&gt;($C$17/2),(C3&lt;($C$17+B17+10))),$C$18,$B$18)</f>
        <v>sim</v>
      </c>
      <c r="D24" s="5" t="str">
        <f>IF(AND($D$17&gt;(B17/2),B17&gt;($D$17/2),(D3&lt;($D$17+B17+10))),$C$18,$B$18)</f>
        <v>sim</v>
      </c>
      <c r="E24" s="5" t="str">
        <f>IF(AND($E$17&gt;(B17/2),B17&gt;($E$17/2),(E3&lt;($E$17+B17+10))),$C$18,$B$18)</f>
        <v>sim</v>
      </c>
      <c r="F24" s="5" t="str">
        <f>IF(AND($F$17&gt;(B17/2),B17&gt;($F$17/2),(F3&lt;($F$17+B17+10))),$C$18,$B$18)</f>
        <v>sim</v>
      </c>
      <c r="G24" s="5" t="str">
        <f>IF(AND($G$17&gt;(B17/2),B17&gt;($G$17/2),(G3&lt;($G$17+B17+10))),$C$18,$B$18)</f>
        <v>sim</v>
      </c>
      <c r="H24" s="5" t="str">
        <f>IF(AND($H$17&gt;(B17/2),B17&gt;($H$17/2),(H3&lt;($H$17+B17+10))),$C$18,$B$18)</f>
        <v>não</v>
      </c>
      <c r="I24" s="6" t="str">
        <f>IF(AND($I$17&gt;(B$17/2),B$17&gt;($I$17/2),($I3&lt;($I$17+B$17+10))),$C$18,$B$18)</f>
        <v>sim</v>
      </c>
      <c r="J24" s="6" t="str">
        <f>IF(AND($J$17&gt;(B$17/2),B$17&gt;($J$17/2),($J3&lt;($J$17+B$17+10))),$C$18,$B$18)</f>
        <v>não</v>
      </c>
      <c r="K24" s="117" t="str">
        <f>IF(AND(K$17&gt;($B$17/2),$B$17&gt;(K$17/2),(K3&lt;(K$17+$B$17+10))),$C$18,$B$18)</f>
        <v>sim</v>
      </c>
      <c r="L24" s="117" t="str">
        <f t="shared" ref="L24:M24" si="0">IF(AND(L$17&gt;($B$17/2),$B$17&gt;(L$17/2),(L3&lt;(L$17+$B$17+10))),$C$18,$B$18)</f>
        <v>sim</v>
      </c>
      <c r="M24" s="125" t="str">
        <f t="shared" si="0"/>
        <v>não</v>
      </c>
      <c r="O24" s="167"/>
      <c r="P24" s="167"/>
    </row>
    <row r="25" spans="1:17" ht="20.100000000000001" customHeight="1" x14ac:dyDescent="0.2">
      <c r="A25" s="7" t="s">
        <v>50</v>
      </c>
      <c r="B25" s="9" t="str">
        <f>IF(AND($B$17&gt;(C17/2),C17&gt;($B$17/2),(B4&lt;($B$17+C17+10))),$C$18,$B$18)</f>
        <v>sim</v>
      </c>
      <c r="C25" s="8"/>
      <c r="D25" s="9" t="str">
        <f>IF(AND($D$17&gt;(C17/2),C17&gt;($D$17/2),(D4&lt;($D$17+C17+10))),$C$18,$B$18)</f>
        <v>sim</v>
      </c>
      <c r="E25" s="9" t="str">
        <f>IF(AND($E$17&gt;(C17/2),C17&gt;($E$17/2),(E4&lt;($E$17+C17+10))),$C$18,$B$18)</f>
        <v>sim</v>
      </c>
      <c r="F25" s="9" t="str">
        <f>IF(AND($F$17&gt;(C17/2),C17&gt;($F$17/2),(F4&lt;($F$17+C17+10))),$C$18,$B$18)</f>
        <v>sim</v>
      </c>
      <c r="G25" s="9" t="str">
        <f>IF(AND($G$17&gt;(C17/2),C17&gt;($G$17/2),(G4&lt;($G$17+C17+10))),$C$18,$B$18)</f>
        <v>sim</v>
      </c>
      <c r="H25" s="9" t="str">
        <f>IF(AND($H$17&gt;(C17/2),C17&gt;($H$17/2),(H4&lt;($H$17+C17+10))),$C$18,$B$18)</f>
        <v>sim</v>
      </c>
      <c r="I25" s="6" t="str">
        <f>IF(AND($I$17&gt;(C$17/2),C$17&gt;($I$17/2),($I4&lt;($I$17+C$17+10))),$C$18,$B$18)</f>
        <v>sim</v>
      </c>
      <c r="J25" s="6" t="str">
        <f>IF(AND($J$17&gt;(C$17/2),C$17&gt;($J$17/2),($J4&lt;($J$17+C$17+10))),$C$18,$B$18)</f>
        <v>não</v>
      </c>
      <c r="K25" s="117" t="str">
        <f>IF(AND(K$17&gt;($C$17/2),$C$17&gt;(K$17/2),(K4&lt;(K$17+$C$17+10))),$C$18,$B$18)</f>
        <v>sim</v>
      </c>
      <c r="L25" s="117" t="str">
        <f t="shared" ref="L25:M25" si="1">IF(AND(L$17&gt;($C$17/2),$C$17&gt;(L$17/2),(L4&lt;(L$17+$C$17+10))),$C$18,$B$18)</f>
        <v>sim</v>
      </c>
      <c r="M25" s="125" t="str">
        <f t="shared" si="1"/>
        <v>sim</v>
      </c>
      <c r="O25" s="167"/>
      <c r="P25" s="167"/>
    </row>
    <row r="26" spans="1:17" ht="20.100000000000001" customHeight="1" x14ac:dyDescent="0.2">
      <c r="A26" s="7" t="s">
        <v>51</v>
      </c>
      <c r="B26" s="9" t="str">
        <f>IF(AND($B$17&gt;(D17/2),D17&gt;($B$17/2),(B5&lt;($B$17+D17+10))),$C$18,$B$18)</f>
        <v>sim</v>
      </c>
      <c r="C26" s="9" t="str">
        <f>IF(AND($C$17&gt;(D17/2),D17&gt;($C$17/2),(C5&lt;($C$17+D17+10))),$C$18,$B$18)</f>
        <v>sim</v>
      </c>
      <c r="D26" s="8"/>
      <c r="E26" s="9" t="str">
        <f>IF(AND($E$17&gt;(D17/2),D17&gt;($E$17/2),(E5&lt;($E$17+D17+10))),$C$18,$B$18)</f>
        <v>sim</v>
      </c>
      <c r="F26" s="9" t="str">
        <f>IF(AND($F$17&gt;(D17/2),D17&gt;($F$17/2),(F5&lt;($F$17+D17+10))),$C$18,$B$18)</f>
        <v>sim</v>
      </c>
      <c r="G26" s="9" t="str">
        <f>IF(AND($G$17&gt;(D17/2),D17&gt;($G$17/2),(G5&lt;($G$17+D17+10))),$C$18,$B$18)</f>
        <v>não</v>
      </c>
      <c r="H26" s="9" t="str">
        <f>IF(AND($H$17&gt;(D17/2),D17&gt;($H$17/2),(H5&lt;($H$17+D17+10))),$C$18,$B$18)</f>
        <v>não</v>
      </c>
      <c r="I26" s="6" t="str">
        <f>IF(AND($I$17&gt;(D$17/2),D$17&gt;($I$17/2),($I5&lt;($I$17+D$17+10))),$C$18,$B$18)</f>
        <v>sim</v>
      </c>
      <c r="J26" s="6" t="str">
        <f>IF(AND($J$17&gt;(D$17/2),D$17&gt;($J$17/2),($J5&lt;($J$17+D$17+10))),$C$18,$B$18)</f>
        <v>não</v>
      </c>
      <c r="K26" s="117" t="str">
        <f>IF(AND(K$17&gt;($D$17/2),$D$17&gt;(K$17/2),(K5&lt;(K$17+$D$17+10))),$C$18,$B$18)</f>
        <v>sim</v>
      </c>
      <c r="L26" s="117" t="str">
        <f t="shared" ref="L26:M26" si="2">IF(AND(L$17&gt;($D$17/2),$D$17&gt;(L$17/2),(L5&lt;(L$17+$D$17+10))),$C$18,$B$18)</f>
        <v>não</v>
      </c>
      <c r="M26" s="125" t="str">
        <f t="shared" si="2"/>
        <v>não</v>
      </c>
      <c r="O26" s="167"/>
      <c r="P26" s="167"/>
    </row>
    <row r="27" spans="1:17" ht="20.100000000000001" customHeight="1" x14ac:dyDescent="0.2">
      <c r="A27" s="7" t="s">
        <v>52</v>
      </c>
      <c r="B27" s="9" t="str">
        <f>IF(AND($B$17&gt;(E17/2),E17&gt;($B$17/2),(B6&lt;($B$17+E17+10))),$C$18,$B$18)</f>
        <v>sim</v>
      </c>
      <c r="C27" s="9" t="str">
        <f>IF(AND($C$17&gt;(E17/2),E17&gt;($C$17/2),(C6&lt;($C$17+E17+10))),$C$18,$B$18)</f>
        <v>sim</v>
      </c>
      <c r="D27" s="9" t="str">
        <f>IF(AND($D$17&gt;(E17/2),E17&gt;($D$17/2),(D6&lt;($D$17+E17+10))),$C$18,$B$18)</f>
        <v>sim</v>
      </c>
      <c r="E27" s="8"/>
      <c r="F27" s="9" t="str">
        <f>IF(AND($F$17&gt;(E17/2),E17&gt;($F$17/2),(F6&lt;($F$17+E17+10))),$C$18,$B$18)</f>
        <v>sim</v>
      </c>
      <c r="G27" s="9" t="str">
        <f>IF(AND($G$17&gt;(E17/2),E17&gt;($G$17/2),(G6&lt;($G$17+E17+10))),$C$18,$B$18)</f>
        <v>sim</v>
      </c>
      <c r="H27" s="6" t="str">
        <f>IF(AND($H$17&gt;(E17/2),E17&gt;($H$17/2),(H6&lt;($H$17+E17+10))),$C$18,$B$18)</f>
        <v>não</v>
      </c>
      <c r="I27" s="6" t="str">
        <f>IF(AND($I$17&gt;(E$17/2),E$17&gt;($I$17/2),($I6&lt;($I$17+E$17+10))),$C$18,$B$18)</f>
        <v>sim</v>
      </c>
      <c r="J27" s="6" t="str">
        <f>IF(AND($J$17&gt;(E$17/2),E$17&gt;($J$17/2),($J6&lt;($J$17+E$17+10))),$C$18,$B$18)</f>
        <v>não</v>
      </c>
      <c r="K27" s="117" t="str">
        <f>IF(AND(K$17&gt;($E$17/2),$E$17&gt;(K$17/2),(K6&lt;(K$17+$E$17+10))),$C$18,$B$18)</f>
        <v>sim</v>
      </c>
      <c r="L27" s="117" t="str">
        <f t="shared" ref="L27:M27" si="3">IF(AND(L$17&gt;($E$17/2),$E$17&gt;(L$17/2),(L6&lt;(L$17+$E$17+10))),$C$18,$B$18)</f>
        <v>não</v>
      </c>
      <c r="M27" s="125" t="str">
        <f t="shared" si="3"/>
        <v>não</v>
      </c>
      <c r="O27" s="167"/>
      <c r="P27" s="167"/>
    </row>
    <row r="28" spans="1:17" ht="20.100000000000001" customHeight="1" x14ac:dyDescent="0.2">
      <c r="A28" s="7" t="s">
        <v>40</v>
      </c>
      <c r="B28" s="9" t="str">
        <f>IF(AND($B$17&gt;(F17/2),F17&gt;($B$17/2),(B7&lt;($B$17+F17+10))),$C$18,$B$18)</f>
        <v>sim</v>
      </c>
      <c r="C28" s="9" t="str">
        <f>IF(AND($C$17&gt;(F17/2),F17&gt;($C$17/2),(C7&lt;($C$17+F17+10))),$C$18,$B$18)</f>
        <v>sim</v>
      </c>
      <c r="D28" s="9" t="str">
        <f>IF(AND($D$17&gt;(F17/2),F17&gt;($D$17/2),(D7&lt;($D$17+F17+10))),$C$18,$B$18)</f>
        <v>sim</v>
      </c>
      <c r="E28" s="9" t="str">
        <f>IF(AND($E$17&gt;(F17/2),F17&gt;($E$17/2),(E7&lt;($E$17+F17+10))),$C$18,$B$18)</f>
        <v>sim</v>
      </c>
      <c r="F28" s="8"/>
      <c r="G28" s="9" t="str">
        <f>IF(AND($G$17&gt;(F17/2),F17&gt;($G$17/2),(G7&lt;($G$17+F17+10))),$C$18,$B$18)</f>
        <v>não</v>
      </c>
      <c r="H28" s="6" t="str">
        <f>IF(AND($H$17&gt;(F17/2),F17&gt;($H$17/2),(H7&lt;($H$17+F17+10))),$C$18,$B$18)</f>
        <v>não</v>
      </c>
      <c r="I28" s="6" t="str">
        <f>IF(AND($I$17&gt;(F$17/2),F$17&gt;($I$17/2),($I7&lt;($I$17+F$17+10))),$C$18,$B$18)</f>
        <v>sim</v>
      </c>
      <c r="J28" s="6" t="str">
        <f>IF(AND($J$17&gt;(F$17/2),F$17&gt;($J$17/2),($J7&lt;($J$17+F$17+10))),$C$18,$B$18)</f>
        <v>sim</v>
      </c>
      <c r="K28" s="117" t="str">
        <f>IF(AND(K$17&gt;($F$17/2),$F$17&gt;(K$17/2),(K7&lt;(K$17+$F$17+10))),$C$18,$B$18)</f>
        <v>sim</v>
      </c>
      <c r="L28" s="117" t="str">
        <f t="shared" ref="L28:M28" si="4">IF(AND(L$17&gt;($F$17/2),$F$17&gt;(L$17/2),(L7&lt;(L$17+$F$17+10))),$C$18,$B$18)</f>
        <v>não</v>
      </c>
      <c r="M28" s="125" t="str">
        <f t="shared" si="4"/>
        <v>não</v>
      </c>
      <c r="O28" s="167"/>
      <c r="P28" s="167"/>
    </row>
    <row r="29" spans="1:17" ht="20.100000000000001" customHeight="1" x14ac:dyDescent="0.2">
      <c r="A29" s="7" t="s">
        <v>41</v>
      </c>
      <c r="B29" s="9" t="str">
        <f>IF(AND($B$17&gt;(G17/2),G17&gt;($B$17/2),(B8&lt;($B$17+G17+10))),$C$18,$B$18)</f>
        <v>sim</v>
      </c>
      <c r="C29" s="9" t="str">
        <f>IF(AND($C$17&gt;(G17/2),G17&gt;($C$17/2),(C8&lt;($C$17+G17+10))),$C$18,$B$18)</f>
        <v>sim</v>
      </c>
      <c r="D29" s="9" t="str">
        <f>IF(AND($D$17&gt;(G17/2),G17&gt;($D$17/2),(D8&lt;($D$17+G17+10))),$C$18,$B$18)</f>
        <v>não</v>
      </c>
      <c r="E29" s="9" t="str">
        <f>IF(AND($E$17&gt;(G17/2),G17&gt;($E$17/2),(E8&lt;($E$17+G17+10))),$C$18,$B$18)</f>
        <v>sim</v>
      </c>
      <c r="F29" s="9" t="str">
        <f>IF(AND($F$17&gt;(G17/2),G17&gt;($F$17/2),(F8&lt;($F$17+G17+10))),$C$18,$B$18)</f>
        <v>não</v>
      </c>
      <c r="G29" s="8"/>
      <c r="H29" s="9" t="str">
        <f>IF(AND($H$17&gt;(G17/2),G17&gt;($H$17/2),(H8&lt;($H$17+G17+10))),$C$18,$B$18)</f>
        <v>sim</v>
      </c>
      <c r="I29" s="6" t="str">
        <f>IF(AND($I$17&gt;(G$17/2),G$17&gt;($I$17/2),($I8&lt;($I$17+G$17+10))),$C$18,$B$18)</f>
        <v>não</v>
      </c>
      <c r="J29" s="6" t="str">
        <f>IF(AND($J$17&gt;(G$17/2),G$17&gt;($J$17/2),($J8&lt;($J$17+G$17+10))),$C$18,$B$18)</f>
        <v>não</v>
      </c>
      <c r="K29" s="117" t="str">
        <f>IF(AND(K$17&gt;($G$17/2),$G$17&gt;(K$17/2),(K8&lt;(K$17+$G$17+10))),$C$18,$B$18)</f>
        <v>não</v>
      </c>
      <c r="L29" s="117" t="str">
        <f t="shared" ref="L29:M29" si="5">IF(AND(L$17&gt;($G$17/2),$G$17&gt;(L$17/2),(L8&lt;(L$17+$G$17+10))),$C$18,$B$18)</f>
        <v>sim</v>
      </c>
      <c r="M29" s="125" t="str">
        <f t="shared" si="5"/>
        <v>sim</v>
      </c>
      <c r="O29" s="167"/>
      <c r="P29" s="167"/>
    </row>
    <row r="30" spans="1:17" ht="20.100000000000001" customHeight="1" x14ac:dyDescent="0.2">
      <c r="A30" s="7" t="s">
        <v>42</v>
      </c>
      <c r="B30" s="9" t="str">
        <f>IF(AND($B$17&gt;(H17/2),H17&gt;($B$17/2),(B9&lt;($B$17+H17+10))),$C$18,$B$18)</f>
        <v>não</v>
      </c>
      <c r="C30" s="9" t="str">
        <f>IF(AND($C$17&gt;(H17/2),H17&gt;($C$17/2),(C9&lt;($C$17+H17+10))),$C$18,$B$18)</f>
        <v>sim</v>
      </c>
      <c r="D30" s="9" t="str">
        <f>IF(AND($D$17&gt;(H17/2),H17&gt;($D$17/2),(D9&lt;($D$17+H17+10))),$C$18,$B$18)</f>
        <v>não</v>
      </c>
      <c r="E30" s="9" t="str">
        <f>IF(AND($E$17&gt;(H17/2),H17&gt;($E$17/2),(E9&lt;($E$17+H17+10))),$C$18,$B$18)</f>
        <v>não</v>
      </c>
      <c r="F30" s="9" t="str">
        <f>IF(AND($F$17&gt;(H17/2),H17&gt;($F$17/2),(F9&lt;($F$17+H17+10))),$C$18,$B$18)</f>
        <v>não</v>
      </c>
      <c r="G30" s="9" t="str">
        <f>IF(AND($G$17&gt;(H17/2),H17&gt;($G$17/2),(G9&lt;($G$17+H17+10))),$C$18,$B$18)</f>
        <v>sim</v>
      </c>
      <c r="H30" s="8"/>
      <c r="I30" s="6" t="str">
        <f>IF(AND($I$17&gt;(H$17/2),H$17&gt;($I$17/2),($I9&lt;($I$17+H$17+10))),$C$18,$B$18)</f>
        <v>não</v>
      </c>
      <c r="J30" s="6" t="str">
        <f>IF(AND($J$17&gt;(H$17/2),H$17&gt;($J$17/2),($J9&lt;($J$17+H$17+10))),$C$18,$B$18)</f>
        <v>não</v>
      </c>
      <c r="K30" s="117" t="str">
        <f>IF(AND(K$17&gt;($H$17/2),$H$17&gt;(K$17/2),(K9&lt;(K$17+$H$17+10))),$C$18,$B$18)</f>
        <v>não</v>
      </c>
      <c r="L30" s="117" t="str">
        <f t="shared" ref="L30:M30" si="6">IF(AND(L$17&gt;($H$17/2),$H$17&gt;(L$17/2),(L9&lt;(L$17+$H$17+10))),$C$18,$B$18)</f>
        <v>sim</v>
      </c>
      <c r="M30" s="125" t="str">
        <f t="shared" si="6"/>
        <v>sim</v>
      </c>
      <c r="O30" s="167"/>
      <c r="P30" s="167"/>
    </row>
    <row r="31" spans="1:17" ht="20.100000000000001" customHeight="1" x14ac:dyDescent="0.2">
      <c r="A31" s="26" t="s">
        <v>53</v>
      </c>
      <c r="B31" s="6" t="str">
        <f>IF(AND($B$17&gt;($I$17/2),$I$17&gt;($B$17/2),(B10&lt;($B$17+$I$17+10))),$C$18,$B$18)</f>
        <v>sim</v>
      </c>
      <c r="C31" s="6" t="str">
        <f t="shared" ref="C31:H31" si="7">IF(AND(C$17&gt;($I$17/2),$I$17&gt;(C$17/2),(C10&lt;(C$17+$I$17+10))),$C$18,$B$18)</f>
        <v>sim</v>
      </c>
      <c r="D31" s="6" t="str">
        <f t="shared" si="7"/>
        <v>sim</v>
      </c>
      <c r="E31" s="6" t="str">
        <f t="shared" si="7"/>
        <v>sim</v>
      </c>
      <c r="F31" s="6" t="str">
        <f t="shared" si="7"/>
        <v>sim</v>
      </c>
      <c r="G31" s="6" t="str">
        <f t="shared" si="7"/>
        <v>não</v>
      </c>
      <c r="H31" s="6" t="str">
        <f t="shared" si="7"/>
        <v>não</v>
      </c>
      <c r="I31" s="8"/>
      <c r="J31" s="6" t="str">
        <f>IF(AND($J$17&gt;(I$17/2),I$17&gt;($J$17/2),($J10&lt;($J$17+I$17+10))),$C$18,$B$18)</f>
        <v>não</v>
      </c>
      <c r="K31" s="117" t="str">
        <f>IF(AND(K$17&gt;($I$17/2),$I$17&gt;(K$17/2),(K10&lt;(K$17+$I$17+10))),$C$18,$B$18)</f>
        <v>sim</v>
      </c>
      <c r="L31" s="117" t="str">
        <f t="shared" ref="L31:M31" si="8">IF(AND(L$17&gt;($I$17/2),$I$17&gt;(L$17/2),(L10&lt;(L$17+$I$17+10))),$C$18,$B$18)</f>
        <v>não</v>
      </c>
      <c r="M31" s="125" t="str">
        <f t="shared" si="8"/>
        <v>não</v>
      </c>
      <c r="O31" s="167"/>
      <c r="P31" s="167"/>
    </row>
    <row r="32" spans="1:17" ht="20.100000000000001" customHeight="1" x14ac:dyDescent="0.2">
      <c r="A32" s="26" t="s">
        <v>43</v>
      </c>
      <c r="B32" s="6" t="str">
        <f>IF(AND($B$17&gt;(J$17/2),J$17&gt;($B$17/2),(B11&lt;($B$17+J$17+10))),$C$18,$B$18)</f>
        <v>não</v>
      </c>
      <c r="C32" s="6" t="str">
        <f>IF(AND($C$17&gt;(J$17/2),J$17&gt;($C$17/2),(C11&lt;($C$17+J$17+10))),$C$18,$B$18)</f>
        <v>não</v>
      </c>
      <c r="D32" s="6" t="str">
        <f>IF(AND($D$17&gt;(J$17/2),J$17&gt;($D$17/2),(D11&lt;($D$17+J$17+10))),$C$18,$B$18)</f>
        <v>não</v>
      </c>
      <c r="E32" s="6" t="str">
        <f>IF(AND($E$17&gt;(J$17/2),J$17&gt;($E$17/2),(E11&lt;($E$17+J$17+10))),$C$18,$B$18)</f>
        <v>não</v>
      </c>
      <c r="F32" s="6" t="str">
        <f>IF(AND($F$17&gt;(J$17/2),J$17&gt;($F$17/2),(F11&lt;($F$17+J$17+10))),$C$18,$B$18)</f>
        <v>sim</v>
      </c>
      <c r="G32" s="6" t="str">
        <f>IF(AND($G$17&gt;(J$17/2),J$17&gt;($G$17/2),(G11&lt;($G$17+J$17+10))),$C$18,$B$18)</f>
        <v>não</v>
      </c>
      <c r="H32" s="6" t="str">
        <f>IF(AND($H$17&gt;(J$17/2),J$17&gt;($H$17/2),(H11&lt;($H$17+J$17+10))),$C$18,$B$18)</f>
        <v>não</v>
      </c>
      <c r="I32" s="6" t="str">
        <f>IF(AND($I$17&gt;(J$17/2),J$17&gt;($I$17/2),(I11&lt;($I$17+J$17+10))),$C$18,$B$18)</f>
        <v>não</v>
      </c>
      <c r="J32" s="8"/>
      <c r="K32" s="117" t="str">
        <f>IF(AND(K$17&gt;($J$17/2),$J$17&gt;(K$17/2),(K11&lt;(K$17+$J$17+10))),$C$18,$B$18)</f>
        <v>sim</v>
      </c>
      <c r="L32" s="117" t="str">
        <f t="shared" ref="L32:M32" si="9">IF(AND(L$17&gt;($J$17/2),$J$17&gt;(L$17/2),(L11&lt;(L$17+$J$17+10))),$C$18,$B$18)</f>
        <v>não</v>
      </c>
      <c r="M32" s="125" t="str">
        <f t="shared" si="9"/>
        <v>não</v>
      </c>
      <c r="O32" s="167"/>
      <c r="P32" s="167"/>
    </row>
    <row r="33" spans="1:16" ht="20.100000000000001" customHeight="1" x14ac:dyDescent="0.2">
      <c r="A33" s="116" t="s">
        <v>54</v>
      </c>
      <c r="B33" s="117" t="str">
        <f>IF(AND($B$17&gt;(K$17/2),K$17&gt;($B$17/2),(B12&lt;($B$17+K$17+10))),$C$18,$B$18)</f>
        <v>sim</v>
      </c>
      <c r="C33" s="117" t="str">
        <f>IF(AND($C$17&gt;(K$17/2),K$17&gt;($C$17/2),(C12&lt;($C$17+K$17+10))),$C$18,$B$18)</f>
        <v>sim</v>
      </c>
      <c r="D33" s="117" t="str">
        <f>IF(AND($D$17&gt;(K$17/2),K$17&gt;($D$17/2),(D12&lt;($D$17+K$17+10))),$C$18,$B$18)</f>
        <v>sim</v>
      </c>
      <c r="E33" s="117" t="str">
        <f>IF(AND($E$17&gt;(K$17/2),K$17&gt;($E$17/2),(E12&lt;($E$17+K$17+10))),$C$18,$B$18)</f>
        <v>sim</v>
      </c>
      <c r="F33" s="117" t="str">
        <f>IF(AND($F$17&gt;(K$17/2),K$17&gt;($F$17/2),(F12&lt;($F$17+K$17+10))),$C$18,$B$18)</f>
        <v>sim</v>
      </c>
      <c r="G33" s="117" t="str">
        <f>IF(AND($G$17&gt;(K$17/2),K$17&gt;($G$17/2),(G12&lt;($G$17+K$17+10))),$C$18,$B$18)</f>
        <v>não</v>
      </c>
      <c r="H33" s="117" t="str">
        <f>IF(AND($H$17&gt;(K$17/2),K$17&gt;($H$17/2),(H12&lt;($H$17+K$17+10))),$C$18,$B$18)</f>
        <v>não</v>
      </c>
      <c r="I33" s="117" t="str">
        <f>IF(AND($I$17&gt;(K$17/2),K$17&gt;($I$17/2),(I12&lt;($I$17+K$17+10))),$C$18,$B$18)</f>
        <v>sim</v>
      </c>
      <c r="J33" s="117" t="str">
        <f>IF(AND(J$17&gt;($K$17/2),$K$17&gt;(J$17/2),(J12&lt;(J$17+$K$17+10))),$C$18,$B$18)</f>
        <v>sim</v>
      </c>
      <c r="K33" s="118"/>
      <c r="L33" s="117" t="str">
        <f t="shared" ref="L33:M33" si="10">IF(AND(L$17&gt;($K$17/2),$K$17&gt;(L$17/2),(L12&lt;(L$17+$K$17+10))),$C$18,$B$18)</f>
        <v>não</v>
      </c>
      <c r="M33" s="125" t="str">
        <f t="shared" si="10"/>
        <v>não</v>
      </c>
      <c r="O33" s="167"/>
      <c r="P33" s="167"/>
    </row>
    <row r="34" spans="1:16" s="89" customFormat="1" ht="20.100000000000001" customHeight="1" x14ac:dyDescent="0.2">
      <c r="A34" s="116" t="s">
        <v>99</v>
      </c>
      <c r="B34" s="120" t="str">
        <f>IF(AND(B$17&gt;($L$17/2),$L$17&gt;(B$17/2),(B13&lt;(B$17+$L$17+10))),$C$18,$B$18)</f>
        <v>sim</v>
      </c>
      <c r="C34" s="120" t="str">
        <f>IF(AND(C$17&gt;($L$17/2),$L$17&gt;(C$17/2),(C13&lt;(C$17+$L$17+10))),$C$18,$B$18)</f>
        <v>sim</v>
      </c>
      <c r="D34" s="120" t="str">
        <f t="shared" ref="D34:M34" si="11">IF(AND(D$17&gt;($L$17/2),$L$17&gt;(D$17/2),(D13&lt;(D$17+$L$17+10))),$C$18,$B$18)</f>
        <v>não</v>
      </c>
      <c r="E34" s="120" t="str">
        <f t="shared" si="11"/>
        <v>não</v>
      </c>
      <c r="F34" s="120" t="str">
        <f t="shared" si="11"/>
        <v>não</v>
      </c>
      <c r="G34" s="120" t="str">
        <f t="shared" si="11"/>
        <v>sim</v>
      </c>
      <c r="H34" s="120" t="str">
        <f t="shared" si="11"/>
        <v>sim</v>
      </c>
      <c r="I34" s="120" t="str">
        <f t="shared" si="11"/>
        <v>não</v>
      </c>
      <c r="J34" s="120" t="str">
        <f t="shared" si="11"/>
        <v>não</v>
      </c>
      <c r="K34" s="120" t="str">
        <f t="shared" si="11"/>
        <v>não</v>
      </c>
      <c r="L34" s="118"/>
      <c r="M34" s="159" t="str">
        <f t="shared" si="11"/>
        <v>sim</v>
      </c>
    </row>
    <row r="35" spans="1:16" s="89" customFormat="1" ht="20.100000000000001" customHeight="1" thickBot="1" x14ac:dyDescent="0.25">
      <c r="A35" s="119" t="s">
        <v>100</v>
      </c>
      <c r="B35" s="160" t="str">
        <f>IF(AND(B$17&gt;($M$17/2),$M$17&gt;(B$17/2),(B14&lt;(B$17+$M$17+10))),$C$18,$B$18)</f>
        <v>não</v>
      </c>
      <c r="C35" s="160" t="str">
        <f t="shared" ref="C35:L35" si="12">IF(AND(C$17&gt;($M$17/2),$M$17&gt;(C$17/2),(C14&lt;(C$17+$M$17+10))),$C$18,$B$18)</f>
        <v>sim</v>
      </c>
      <c r="D35" s="160" t="str">
        <f t="shared" si="12"/>
        <v>não</v>
      </c>
      <c r="E35" s="160" t="str">
        <f t="shared" si="12"/>
        <v>não</v>
      </c>
      <c r="F35" s="160" t="str">
        <f t="shared" si="12"/>
        <v>não</v>
      </c>
      <c r="G35" s="160" t="str">
        <f t="shared" si="12"/>
        <v>sim</v>
      </c>
      <c r="H35" s="160" t="str">
        <f t="shared" si="12"/>
        <v>sim</v>
      </c>
      <c r="I35" s="160" t="str">
        <f t="shared" si="12"/>
        <v>não</v>
      </c>
      <c r="J35" s="160" t="str">
        <f t="shared" si="12"/>
        <v>não</v>
      </c>
      <c r="K35" s="160" t="str">
        <f t="shared" si="12"/>
        <v>não</v>
      </c>
      <c r="L35" s="160" t="str">
        <f t="shared" si="12"/>
        <v>sim</v>
      </c>
      <c r="M35" s="158"/>
    </row>
    <row r="36" spans="1:16" ht="20.100000000000001" customHeight="1" x14ac:dyDescent="0.2"/>
  </sheetData>
  <mergeCells count="14">
    <mergeCell ref="B1:H1"/>
    <mergeCell ref="A1:A2"/>
    <mergeCell ref="N17:P17"/>
    <mergeCell ref="B22:H22"/>
    <mergeCell ref="O24:P24"/>
    <mergeCell ref="O30:P30"/>
    <mergeCell ref="O31:P31"/>
    <mergeCell ref="O32:P32"/>
    <mergeCell ref="O33:P33"/>
    <mergeCell ref="O25:P25"/>
    <mergeCell ref="O26:P26"/>
    <mergeCell ref="O27:P27"/>
    <mergeCell ref="O28:P28"/>
    <mergeCell ref="O29:P29"/>
  </mergeCells>
  <phoneticPr fontId="0" type="noConversion"/>
  <pageMargins left="0.75" right="0.75" top="0.51" bottom="0.31" header="0" footer="0"/>
  <pageSetup paperSize="9" orientation="landscape" r:id="rId1"/>
  <headerFooter alignWithMargins="0">
    <oddHeader>&amp;C&amp;"Tahoma,Normal"&amp;11Distância entre as Chaminés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
  <dimension ref="A1:M14"/>
  <sheetViews>
    <sheetView zoomScaleNormal="100" workbookViewId="0">
      <selection sqref="A1:A2"/>
    </sheetView>
  </sheetViews>
  <sheetFormatPr defaultRowHeight="12" x14ac:dyDescent="0.2"/>
  <cols>
    <col min="1" max="1" width="26.7109375" style="20" customWidth="1"/>
    <col min="2" max="4" width="12.7109375" style="20" customWidth="1"/>
    <col min="5" max="5" width="12.7109375" style="25" customWidth="1"/>
    <col min="6" max="6" width="12.7109375" style="27" customWidth="1"/>
    <col min="7" max="8" width="12.7109375" style="28" customWidth="1"/>
    <col min="9" max="9" width="20.7109375" style="3" customWidth="1"/>
    <col min="10" max="11" width="12.7109375" style="3" customWidth="1"/>
    <col min="12" max="12" width="20.7109375" style="3" customWidth="1"/>
    <col min="13" max="16384" width="9.140625" style="20"/>
  </cols>
  <sheetData>
    <row r="1" spans="1:13" s="29" customFormat="1" ht="20.100000000000001" customHeight="1" thickBot="1" x14ac:dyDescent="0.25">
      <c r="A1" s="177" t="s">
        <v>1</v>
      </c>
      <c r="B1" s="177" t="s">
        <v>110</v>
      </c>
      <c r="C1" s="177" t="s">
        <v>111</v>
      </c>
      <c r="D1" s="177" t="s">
        <v>112</v>
      </c>
      <c r="E1" s="179" t="s">
        <v>9</v>
      </c>
      <c r="F1" s="180"/>
      <c r="G1" s="180"/>
      <c r="H1" s="181"/>
      <c r="I1" s="170" t="s">
        <v>81</v>
      </c>
      <c r="J1" s="170" t="s">
        <v>66</v>
      </c>
      <c r="K1" s="170" t="s">
        <v>82</v>
      </c>
      <c r="L1" s="170" t="s">
        <v>21</v>
      </c>
    </row>
    <row r="2" spans="1:13" s="29" customFormat="1" ht="20.100000000000001" customHeight="1" thickBot="1" x14ac:dyDescent="0.25">
      <c r="A2" s="178"/>
      <c r="B2" s="178"/>
      <c r="C2" s="178"/>
      <c r="D2" s="178"/>
      <c r="E2" s="61" t="s">
        <v>8</v>
      </c>
      <c r="F2" s="61" t="s">
        <v>61</v>
      </c>
      <c r="G2" s="62" t="s">
        <v>24</v>
      </c>
      <c r="H2" s="62" t="s">
        <v>25</v>
      </c>
      <c r="I2" s="176"/>
      <c r="J2" s="176"/>
      <c r="K2" s="176"/>
      <c r="L2" s="176"/>
    </row>
    <row r="3" spans="1:13" ht="20.100000000000001" customHeight="1" x14ac:dyDescent="0.2">
      <c r="A3" s="4" t="s">
        <v>49</v>
      </c>
      <c r="B3" s="108">
        <v>20</v>
      </c>
      <c r="C3" s="96">
        <v>15</v>
      </c>
      <c r="D3" s="122">
        <v>50</v>
      </c>
      <c r="E3" s="109">
        <f t="shared" ref="E3:E14" si="0">(B3*I3)*10^-6</f>
        <v>5.1999999999999998E-2</v>
      </c>
      <c r="F3" s="109">
        <f>(C3*I3)*10^-6</f>
        <v>3.9E-2</v>
      </c>
      <c r="G3" s="109">
        <f>(D3*I3)*10^-6</f>
        <v>0.13</v>
      </c>
      <c r="H3" s="22"/>
      <c r="I3" s="4">
        <v>2600</v>
      </c>
      <c r="J3" s="4">
        <f t="shared" ref="J3:J14" si="1">273+15.1</f>
        <v>288.10000000000002</v>
      </c>
      <c r="K3" s="110">
        <f>273+300</f>
        <v>573</v>
      </c>
      <c r="L3" s="4">
        <f>K3-J3</f>
        <v>284.89999999999998</v>
      </c>
      <c r="M3" s="3"/>
    </row>
    <row r="4" spans="1:13" ht="20.100000000000001" customHeight="1" x14ac:dyDescent="0.2">
      <c r="A4" s="7" t="s">
        <v>50</v>
      </c>
      <c r="B4" s="42">
        <v>20</v>
      </c>
      <c r="C4" s="115">
        <v>15</v>
      </c>
      <c r="D4" s="23">
        <v>50</v>
      </c>
      <c r="E4" s="111">
        <f t="shared" si="0"/>
        <v>0.104</v>
      </c>
      <c r="F4" s="111">
        <f>(C4*I4)*10^-6</f>
        <v>7.8E-2</v>
      </c>
      <c r="G4" s="111">
        <f>(D4*I4)*10^-6</f>
        <v>0.26</v>
      </c>
      <c r="H4" s="24"/>
      <c r="I4" s="7">
        <v>5200</v>
      </c>
      <c r="J4" s="7">
        <f t="shared" si="1"/>
        <v>288.10000000000002</v>
      </c>
      <c r="K4" s="6">
        <f>273+300</f>
        <v>573</v>
      </c>
      <c r="L4" s="7">
        <f>K4-J4</f>
        <v>284.89999999999998</v>
      </c>
      <c r="M4" s="3"/>
    </row>
    <row r="5" spans="1:13" ht="20.100000000000001" customHeight="1" x14ac:dyDescent="0.2">
      <c r="A5" s="7" t="s">
        <v>51</v>
      </c>
      <c r="B5" s="42">
        <v>150</v>
      </c>
      <c r="C5" s="115">
        <v>500</v>
      </c>
      <c r="D5" s="23">
        <v>500</v>
      </c>
      <c r="E5" s="111">
        <f t="shared" si="0"/>
        <v>0.75</v>
      </c>
      <c r="F5" s="111">
        <f>(C5*I5)*10^-6</f>
        <v>2.5</v>
      </c>
      <c r="G5" s="111">
        <f>(D5*I5)*10^-6</f>
        <v>2.5</v>
      </c>
      <c r="H5" s="24"/>
      <c r="I5" s="7">
        <v>5000</v>
      </c>
      <c r="J5" s="7">
        <f t="shared" si="1"/>
        <v>288.10000000000002</v>
      </c>
      <c r="K5" s="6">
        <f>273+73</f>
        <v>346</v>
      </c>
      <c r="L5" s="7">
        <f>K5-J5</f>
        <v>57.899999999999977</v>
      </c>
      <c r="M5" s="3"/>
    </row>
    <row r="6" spans="1:13" ht="20.100000000000001" customHeight="1" x14ac:dyDescent="0.2">
      <c r="A6" s="7" t="s">
        <v>52</v>
      </c>
      <c r="B6" s="42">
        <v>20</v>
      </c>
      <c r="C6" s="115">
        <v>15</v>
      </c>
      <c r="D6" s="23">
        <v>50</v>
      </c>
      <c r="E6" s="111">
        <f t="shared" si="0"/>
        <v>0.13857999999999998</v>
      </c>
      <c r="F6" s="111">
        <f>(C6*I6)*10^-6</f>
        <v>0.103935</v>
      </c>
      <c r="G6" s="111">
        <f>(D6*I6)*10^-6</f>
        <v>0.34644999999999998</v>
      </c>
      <c r="H6" s="24"/>
      <c r="I6" s="7">
        <v>6929</v>
      </c>
      <c r="J6" s="7">
        <f t="shared" si="1"/>
        <v>288.10000000000002</v>
      </c>
      <c r="K6" s="6">
        <f>273+650</f>
        <v>923</v>
      </c>
      <c r="L6" s="7">
        <f>K6-J6</f>
        <v>634.9</v>
      </c>
      <c r="M6" s="3"/>
    </row>
    <row r="7" spans="1:13" ht="20.100000000000001" customHeight="1" x14ac:dyDescent="0.2">
      <c r="A7" s="7" t="s">
        <v>40</v>
      </c>
      <c r="B7" s="42">
        <v>150</v>
      </c>
      <c r="C7" s="115">
        <v>500</v>
      </c>
      <c r="D7" s="23">
        <v>500</v>
      </c>
      <c r="E7" s="111">
        <f t="shared" si="0"/>
        <v>9.0749999999999997E-2</v>
      </c>
      <c r="F7" s="111">
        <f>(C7*I7)*10^-6</f>
        <v>0.30249999999999999</v>
      </c>
      <c r="G7" s="111">
        <f>(D7*I7)*10^-6</f>
        <v>0.30249999999999999</v>
      </c>
      <c r="H7" s="24"/>
      <c r="I7" s="7">
        <v>605</v>
      </c>
      <c r="J7" s="7">
        <f t="shared" si="1"/>
        <v>288.10000000000002</v>
      </c>
      <c r="K7" s="6">
        <v>301</v>
      </c>
      <c r="L7" s="7">
        <v>50</v>
      </c>
      <c r="M7" s="3"/>
    </row>
    <row r="8" spans="1:13" ht="20.100000000000001" customHeight="1" x14ac:dyDescent="0.2">
      <c r="A8" s="7" t="s">
        <v>41</v>
      </c>
      <c r="B8" s="42">
        <v>5</v>
      </c>
      <c r="C8" s="115"/>
      <c r="D8" s="23"/>
      <c r="E8" s="111">
        <f t="shared" si="0"/>
        <v>9.2999999999999992E-3</v>
      </c>
      <c r="F8" s="111"/>
      <c r="G8" s="111"/>
      <c r="H8" s="24"/>
      <c r="I8" s="7">
        <f>31*60</f>
        <v>1860</v>
      </c>
      <c r="J8" s="7">
        <f t="shared" si="1"/>
        <v>288.10000000000002</v>
      </c>
      <c r="K8" s="6">
        <v>297.39999999999998</v>
      </c>
      <c r="L8" s="7">
        <v>50</v>
      </c>
      <c r="M8" s="3"/>
    </row>
    <row r="9" spans="1:13" ht="20.100000000000001" customHeight="1" x14ac:dyDescent="0.2">
      <c r="A9" s="7" t="s">
        <v>42</v>
      </c>
      <c r="B9" s="42">
        <v>5</v>
      </c>
      <c r="C9" s="115"/>
      <c r="D9" s="23"/>
      <c r="E9" s="111">
        <f t="shared" si="0"/>
        <v>1.2E-2</v>
      </c>
      <c r="F9" s="111"/>
      <c r="G9" s="111"/>
      <c r="H9" s="24"/>
      <c r="I9" s="7">
        <f>40*60</f>
        <v>2400</v>
      </c>
      <c r="J9" s="7">
        <f t="shared" si="1"/>
        <v>288.10000000000002</v>
      </c>
      <c r="K9" s="6">
        <v>297.39999999999998</v>
      </c>
      <c r="L9" s="7">
        <v>50</v>
      </c>
      <c r="M9" s="3"/>
    </row>
    <row r="10" spans="1:13" ht="20.100000000000001" customHeight="1" x14ac:dyDescent="0.2">
      <c r="A10" s="123" t="s">
        <v>53</v>
      </c>
      <c r="B10" s="42">
        <v>20</v>
      </c>
      <c r="C10" s="115">
        <v>15</v>
      </c>
      <c r="D10" s="23">
        <v>50</v>
      </c>
      <c r="E10" s="41">
        <f t="shared" si="0"/>
        <v>0.13857999999999998</v>
      </c>
      <c r="F10" s="41">
        <f>(C10*I10)*10^-6</f>
        <v>0.103935</v>
      </c>
      <c r="G10" s="41">
        <f>(D10*I10)*10^-6</f>
        <v>0.34644999999999998</v>
      </c>
      <c r="H10" s="124"/>
      <c r="I10" s="6">
        <f>I6</f>
        <v>6929</v>
      </c>
      <c r="J10" s="7">
        <f t="shared" si="1"/>
        <v>288.10000000000002</v>
      </c>
      <c r="K10" s="7">
        <f>273+650</f>
        <v>923</v>
      </c>
      <c r="L10" s="7">
        <f>K10-J10</f>
        <v>634.9</v>
      </c>
      <c r="M10" s="3"/>
    </row>
    <row r="11" spans="1:13" ht="20.100000000000001" customHeight="1" x14ac:dyDescent="0.2">
      <c r="A11" s="123" t="s">
        <v>43</v>
      </c>
      <c r="B11" s="42">
        <v>20</v>
      </c>
      <c r="C11" s="115"/>
      <c r="D11" s="23"/>
      <c r="E11" s="41">
        <f t="shared" si="0"/>
        <v>0.158</v>
      </c>
      <c r="F11" s="41"/>
      <c r="G11" s="41"/>
      <c r="H11" s="124"/>
      <c r="I11" s="6">
        <v>7900</v>
      </c>
      <c r="J11" s="7">
        <f t="shared" si="1"/>
        <v>288.10000000000002</v>
      </c>
      <c r="K11" s="7">
        <f>273+15.1</f>
        <v>288.10000000000002</v>
      </c>
      <c r="L11" s="7">
        <v>50</v>
      </c>
      <c r="M11" s="3"/>
    </row>
    <row r="12" spans="1:13" ht="20.100000000000001" customHeight="1" x14ac:dyDescent="0.2">
      <c r="A12" s="125" t="s">
        <v>54</v>
      </c>
      <c r="B12" s="126">
        <v>20</v>
      </c>
      <c r="C12" s="127">
        <v>15</v>
      </c>
      <c r="D12" s="128">
        <v>50</v>
      </c>
      <c r="E12" s="129">
        <f t="shared" si="0"/>
        <v>0.17321999999999999</v>
      </c>
      <c r="F12" s="129">
        <f>(C12*I12)*10^-6</f>
        <v>0.129915</v>
      </c>
      <c r="G12" s="129">
        <f>(D12*I12)*10^-6</f>
        <v>0.43304999999999999</v>
      </c>
      <c r="H12" s="130"/>
      <c r="I12" s="117">
        <v>8661</v>
      </c>
      <c r="J12" s="116">
        <f t="shared" si="1"/>
        <v>288.10000000000002</v>
      </c>
      <c r="K12" s="116">
        <f>273+650</f>
        <v>923</v>
      </c>
      <c r="L12" s="116">
        <f>K12-J12</f>
        <v>634.9</v>
      </c>
      <c r="M12" s="3"/>
    </row>
    <row r="13" spans="1:13" ht="20.100000000000001" customHeight="1" x14ac:dyDescent="0.2">
      <c r="A13" s="116" t="s">
        <v>99</v>
      </c>
      <c r="B13" s="126">
        <v>5</v>
      </c>
      <c r="C13" s="127"/>
      <c r="D13" s="128"/>
      <c r="E13" s="131">
        <f t="shared" si="0"/>
        <v>1.6E-2</v>
      </c>
      <c r="F13" s="132"/>
      <c r="G13" s="133"/>
      <c r="H13" s="133"/>
      <c r="I13" s="134">
        <v>3200</v>
      </c>
      <c r="J13" s="116">
        <f t="shared" si="1"/>
        <v>288.10000000000002</v>
      </c>
      <c r="K13" s="117">
        <v>297.39999999999998</v>
      </c>
      <c r="L13" s="116">
        <v>50</v>
      </c>
    </row>
    <row r="14" spans="1:13" ht="20.100000000000001" customHeight="1" thickBot="1" x14ac:dyDescent="0.25">
      <c r="A14" s="119" t="s">
        <v>100</v>
      </c>
      <c r="B14" s="135">
        <v>5</v>
      </c>
      <c r="C14" s="136"/>
      <c r="D14" s="137"/>
      <c r="E14" s="138">
        <f t="shared" si="0"/>
        <v>2.4999999999999998E-2</v>
      </c>
      <c r="F14" s="139"/>
      <c r="G14" s="140"/>
      <c r="H14" s="141"/>
      <c r="I14" s="142">
        <v>5000</v>
      </c>
      <c r="J14" s="119">
        <f t="shared" si="1"/>
        <v>288.10000000000002</v>
      </c>
      <c r="K14" s="121">
        <v>297.39999999999998</v>
      </c>
      <c r="L14" s="119">
        <v>50</v>
      </c>
    </row>
  </sheetData>
  <mergeCells count="9">
    <mergeCell ref="L1:L2"/>
    <mergeCell ref="A1:A2"/>
    <mergeCell ref="I1:I2"/>
    <mergeCell ref="J1:J2"/>
    <mergeCell ref="K1:K2"/>
    <mergeCell ref="E1:H1"/>
    <mergeCell ref="B1:B2"/>
    <mergeCell ref="C1:C2"/>
    <mergeCell ref="D1:D2"/>
  </mergeCells>
  <phoneticPr fontId="0" type="noConversion"/>
  <pageMargins left="0.5" right="0.75" top="0.5" bottom="0.3" header="0" footer="0"/>
  <pageSetup paperSize="9" orientation="landscape" horizontalDpi="4294967293" verticalDpi="4294967293" r:id="rId1"/>
  <headerFooter alignWithMargins="0">
    <oddHeader>&amp;C&amp;"Tahoma,Normal"&amp;11Caudais Mássicos, Volumico e Temperaturas</oddHeader>
  </headerFooter>
  <ignoredErrors>
    <ignoredError sqref="K1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3"/>
  <dimension ref="A1:T18"/>
  <sheetViews>
    <sheetView zoomScaleNormal="100" workbookViewId="0">
      <pane xSplit="1" ySplit="2" topLeftCell="B3" activePane="bottomRight" state="frozen"/>
      <selection pane="topRight" activeCell="B1" sqref="B1"/>
      <selection pane="bottomLeft" activeCell="A3" sqref="A3"/>
      <selection pane="bottomRight" sqref="A1:A2"/>
    </sheetView>
  </sheetViews>
  <sheetFormatPr defaultRowHeight="12" x14ac:dyDescent="0.2"/>
  <cols>
    <col min="1" max="1" width="26.7109375" style="30" customWidth="1"/>
    <col min="2" max="3" width="14.7109375" style="30" customWidth="1"/>
    <col min="4" max="4" width="18.7109375" style="30" customWidth="1"/>
    <col min="5" max="6" width="12.7109375" style="30" customWidth="1"/>
    <col min="7" max="7" width="18.7109375" style="30" customWidth="1"/>
    <col min="8" max="9" width="12.7109375" style="30" customWidth="1"/>
    <col min="10" max="10" width="16.7109375" style="30" customWidth="1"/>
    <col min="11" max="15" width="12.7109375" style="30" customWidth="1"/>
    <col min="16" max="19" width="12.7109375" style="37" customWidth="1"/>
    <col min="20" max="20" width="12.7109375" style="20" customWidth="1"/>
    <col min="21" max="16384" width="9.140625" style="30"/>
  </cols>
  <sheetData>
    <row r="1" spans="1:20" s="38" customFormat="1" ht="20.100000000000001" customHeight="1" thickBot="1" x14ac:dyDescent="0.25">
      <c r="A1" s="177" t="s">
        <v>6</v>
      </c>
      <c r="B1" s="177" t="s">
        <v>11</v>
      </c>
      <c r="C1" s="179" t="s">
        <v>12</v>
      </c>
      <c r="D1" s="177" t="s">
        <v>59</v>
      </c>
      <c r="E1" s="184" t="s">
        <v>71</v>
      </c>
      <c r="F1" s="185"/>
      <c r="G1" s="177" t="s">
        <v>72</v>
      </c>
      <c r="H1" s="184" t="s">
        <v>73</v>
      </c>
      <c r="I1" s="185"/>
      <c r="J1" s="177" t="s">
        <v>74</v>
      </c>
      <c r="K1" s="177" t="s">
        <v>75</v>
      </c>
      <c r="L1" s="177" t="s">
        <v>76</v>
      </c>
      <c r="M1" s="177" t="s">
        <v>70</v>
      </c>
      <c r="N1" s="177" t="s">
        <v>60</v>
      </c>
      <c r="O1" s="177" t="s">
        <v>27</v>
      </c>
      <c r="P1" s="170" t="s">
        <v>67</v>
      </c>
      <c r="Q1" s="170" t="s">
        <v>68</v>
      </c>
      <c r="R1" s="170" t="s">
        <v>69</v>
      </c>
      <c r="S1" s="170" t="s">
        <v>13</v>
      </c>
      <c r="T1" s="170" t="s">
        <v>26</v>
      </c>
    </row>
    <row r="2" spans="1:20" s="38" customFormat="1" ht="20.100000000000001" customHeight="1" thickBot="1" x14ac:dyDescent="0.25">
      <c r="A2" s="178"/>
      <c r="B2" s="178"/>
      <c r="C2" s="183"/>
      <c r="D2" s="178"/>
      <c r="E2" s="114" t="s">
        <v>61</v>
      </c>
      <c r="F2" s="114" t="s">
        <v>24</v>
      </c>
      <c r="G2" s="178"/>
      <c r="H2" s="114" t="s">
        <v>61</v>
      </c>
      <c r="I2" s="114" t="s">
        <v>24</v>
      </c>
      <c r="J2" s="178"/>
      <c r="K2" s="178"/>
      <c r="L2" s="178"/>
      <c r="M2" s="178"/>
      <c r="N2" s="178"/>
      <c r="O2" s="178"/>
      <c r="P2" s="176"/>
      <c r="Q2" s="176"/>
      <c r="R2" s="176"/>
      <c r="S2" s="176"/>
      <c r="T2" s="176"/>
    </row>
    <row r="3" spans="1:20" ht="20.100000000000001" customHeight="1" x14ac:dyDescent="0.2">
      <c r="A3" s="4" t="s">
        <v>49</v>
      </c>
      <c r="B3" s="31">
        <v>680</v>
      </c>
      <c r="C3" s="31">
        <v>340</v>
      </c>
      <c r="D3" s="32">
        <v>0.15</v>
      </c>
      <c r="E3" s="33">
        <v>0.1</v>
      </c>
      <c r="F3" s="34">
        <v>0.14000000000000001</v>
      </c>
      <c r="G3" s="33">
        <v>0.05</v>
      </c>
      <c r="H3" s="33">
        <v>0.03</v>
      </c>
      <c r="I3" s="33">
        <v>0.04</v>
      </c>
      <c r="J3" s="32">
        <f>D3-G3</f>
        <v>9.9999999999999992E-2</v>
      </c>
      <c r="K3" s="33">
        <f>E3-H3</f>
        <v>7.0000000000000007E-2</v>
      </c>
      <c r="L3" s="33">
        <f>F3-I3</f>
        <v>0.1</v>
      </c>
      <c r="M3" s="84">
        <f>'Caudais Vol., Massic., Temp.'!E3</f>
        <v>5.1999999999999998E-2</v>
      </c>
      <c r="N3" s="83">
        <f>'Caudais Vol., Massic., Temp.'!F3</f>
        <v>3.9E-2</v>
      </c>
      <c r="O3" s="34">
        <f>'Caudais Vol., Massic., Temp.'!G3</f>
        <v>0.13</v>
      </c>
      <c r="P3" s="9">
        <f t="shared" ref="P3:Q7" si="0">(B3*M3)/J3</f>
        <v>353.6</v>
      </c>
      <c r="Q3" s="5">
        <f t="shared" si="0"/>
        <v>189.42857142857142</v>
      </c>
      <c r="R3" s="85">
        <f>(C3*O3)/L3</f>
        <v>442</v>
      </c>
      <c r="S3" s="11">
        <f>P3</f>
        <v>353.6</v>
      </c>
      <c r="T3" s="54">
        <f>(SQRT($S3))*(1/('Caudais Vol., Massic., Temp.'!I3*'Caudais Vol., Massic., Temp.'!L3))^(1/6)</f>
        <v>1.9768717501224329</v>
      </c>
    </row>
    <row r="4" spans="1:20" ht="20.100000000000001" customHeight="1" x14ac:dyDescent="0.2">
      <c r="A4" s="7" t="s">
        <v>50</v>
      </c>
      <c r="B4" s="31">
        <v>680</v>
      </c>
      <c r="C4" s="31">
        <v>340</v>
      </c>
      <c r="D4" s="32">
        <v>0.15</v>
      </c>
      <c r="E4" s="33">
        <v>0.1</v>
      </c>
      <c r="F4" s="34">
        <v>0.14000000000000001</v>
      </c>
      <c r="G4" s="33">
        <v>0.05</v>
      </c>
      <c r="H4" s="33">
        <v>0.03</v>
      </c>
      <c r="I4" s="33">
        <v>0.04</v>
      </c>
      <c r="J4" s="32">
        <f t="shared" ref="J4:J12" si="1">D4-G4</f>
        <v>9.9999999999999992E-2</v>
      </c>
      <c r="K4" s="33">
        <f t="shared" ref="K4:K12" si="2">E4-H4</f>
        <v>7.0000000000000007E-2</v>
      </c>
      <c r="L4" s="33">
        <f t="shared" ref="L4:L12" si="3">F4-I4</f>
        <v>0.1</v>
      </c>
      <c r="M4" s="32">
        <f>'Caudais Vol., Massic., Temp.'!E4</f>
        <v>0.104</v>
      </c>
      <c r="N4" s="33">
        <f>'Caudais Vol., Massic., Temp.'!F4</f>
        <v>7.8E-2</v>
      </c>
      <c r="O4" s="34">
        <f>'Caudais Vol., Massic., Temp.'!G4</f>
        <v>0.26</v>
      </c>
      <c r="P4" s="9">
        <f t="shared" si="0"/>
        <v>707.2</v>
      </c>
      <c r="Q4" s="9">
        <f t="shared" si="0"/>
        <v>378.85714285714283</v>
      </c>
      <c r="R4" s="35">
        <f>(C4*O4)/L4</f>
        <v>884</v>
      </c>
      <c r="S4" s="11">
        <f>P4</f>
        <v>707.2</v>
      </c>
      <c r="T4" s="54">
        <f>(SQRT($S4))*(1/('Caudais Vol., Massic., Temp.'!I4*'Caudais Vol., Massic., Temp.'!L4))^(1/6)</f>
        <v>2.4907023309217702</v>
      </c>
    </row>
    <row r="5" spans="1:20" ht="20.100000000000001" customHeight="1" x14ac:dyDescent="0.2">
      <c r="A5" s="7" t="s">
        <v>51</v>
      </c>
      <c r="B5" s="31">
        <v>680</v>
      </c>
      <c r="C5" s="31">
        <v>340</v>
      </c>
      <c r="D5" s="32">
        <v>0.15</v>
      </c>
      <c r="E5" s="33">
        <v>0.1</v>
      </c>
      <c r="F5" s="34">
        <v>0.14000000000000001</v>
      </c>
      <c r="G5" s="33">
        <v>0.05</v>
      </c>
      <c r="H5" s="33">
        <v>0.03</v>
      </c>
      <c r="I5" s="33">
        <v>0.04</v>
      </c>
      <c r="J5" s="36">
        <f t="shared" si="1"/>
        <v>9.9999999999999992E-2</v>
      </c>
      <c r="K5" s="33">
        <f t="shared" si="2"/>
        <v>7.0000000000000007E-2</v>
      </c>
      <c r="L5" s="33">
        <f t="shared" si="3"/>
        <v>0.1</v>
      </c>
      <c r="M5" s="32">
        <f>'Caudais Vol., Massic., Temp.'!E5</f>
        <v>0.75</v>
      </c>
      <c r="N5" s="33">
        <f>'Caudais Vol., Massic., Temp.'!F5</f>
        <v>2.5</v>
      </c>
      <c r="O5" s="34">
        <f>'Caudais Vol., Massic., Temp.'!G5</f>
        <v>2.5</v>
      </c>
      <c r="P5" s="9">
        <f t="shared" si="0"/>
        <v>5100</v>
      </c>
      <c r="Q5" s="9">
        <f t="shared" si="0"/>
        <v>12142.857142857141</v>
      </c>
      <c r="R5" s="35">
        <f>(C5*O5)/L5</f>
        <v>8500</v>
      </c>
      <c r="S5" s="11">
        <f>P5</f>
        <v>5100</v>
      </c>
      <c r="T5" s="54">
        <f>(SQRT($S5))*(1/('Caudais Vol., Massic., Temp.'!I5*'Caudais Vol., Massic., Temp.'!L5))^(1/6)</f>
        <v>8.7803196479521421</v>
      </c>
    </row>
    <row r="6" spans="1:20" ht="20.100000000000001" customHeight="1" x14ac:dyDescent="0.2">
      <c r="A6" s="7" t="s">
        <v>52</v>
      </c>
      <c r="B6" s="31">
        <v>680</v>
      </c>
      <c r="C6" s="31">
        <v>340</v>
      </c>
      <c r="D6" s="32">
        <v>0.15</v>
      </c>
      <c r="E6" s="33">
        <v>0.1</v>
      </c>
      <c r="F6" s="34">
        <v>0.14000000000000001</v>
      </c>
      <c r="G6" s="33">
        <v>0.05</v>
      </c>
      <c r="H6" s="33">
        <v>0.03</v>
      </c>
      <c r="I6" s="33">
        <v>0.04</v>
      </c>
      <c r="J6" s="32">
        <f t="shared" si="1"/>
        <v>9.9999999999999992E-2</v>
      </c>
      <c r="K6" s="33">
        <f t="shared" si="2"/>
        <v>7.0000000000000007E-2</v>
      </c>
      <c r="L6" s="33">
        <f t="shared" si="3"/>
        <v>0.1</v>
      </c>
      <c r="M6" s="32">
        <f>'Caudais Vol., Massic., Temp.'!E6</f>
        <v>0.13857999999999998</v>
      </c>
      <c r="N6" s="33">
        <f>'Caudais Vol., Massic., Temp.'!F6</f>
        <v>0.103935</v>
      </c>
      <c r="O6" s="34">
        <f>'Caudais Vol., Massic., Temp.'!G6</f>
        <v>0.34644999999999998</v>
      </c>
      <c r="P6" s="9">
        <f t="shared" si="0"/>
        <v>942.34400000000005</v>
      </c>
      <c r="Q6" s="9">
        <f t="shared" si="0"/>
        <v>504.8271428571428</v>
      </c>
      <c r="R6" s="35">
        <f>(C6*O6)/L6</f>
        <v>1177.9299999999998</v>
      </c>
      <c r="S6" s="11">
        <f>P6</f>
        <v>942.34400000000005</v>
      </c>
      <c r="T6" s="54">
        <f>(SQRT($S6))*(1/('Caudais Vol., Massic., Temp.'!I6*'Caudais Vol., Massic., Temp.'!L6))^(1/6)</f>
        <v>2.3981448986149223</v>
      </c>
    </row>
    <row r="7" spans="1:20" ht="20.100000000000001" customHeight="1" x14ac:dyDescent="0.2">
      <c r="A7" s="7" t="s">
        <v>40</v>
      </c>
      <c r="B7" s="31">
        <v>680</v>
      </c>
      <c r="C7" s="31">
        <v>340</v>
      </c>
      <c r="D7" s="32">
        <v>0.15</v>
      </c>
      <c r="E7" s="33">
        <v>0.1</v>
      </c>
      <c r="F7" s="34">
        <v>0.14000000000000001</v>
      </c>
      <c r="G7" s="33">
        <v>0.05</v>
      </c>
      <c r="H7" s="33">
        <v>0.03</v>
      </c>
      <c r="I7" s="33">
        <v>0.04</v>
      </c>
      <c r="J7" s="32">
        <f t="shared" si="1"/>
        <v>9.9999999999999992E-2</v>
      </c>
      <c r="K7" s="33">
        <f t="shared" si="2"/>
        <v>7.0000000000000007E-2</v>
      </c>
      <c r="L7" s="33">
        <f t="shared" si="3"/>
        <v>0.1</v>
      </c>
      <c r="M7" s="32">
        <f>'Caudais Vol., Massic., Temp.'!E7</f>
        <v>9.0749999999999997E-2</v>
      </c>
      <c r="N7" s="33">
        <f>'Caudais Vol., Massic., Temp.'!F7</f>
        <v>0.30249999999999999</v>
      </c>
      <c r="O7" s="34">
        <f>'Caudais Vol., Massic., Temp.'!G7</f>
        <v>0.30249999999999999</v>
      </c>
      <c r="P7" s="9">
        <f t="shared" si="0"/>
        <v>617.1</v>
      </c>
      <c r="Q7" s="9">
        <f t="shared" si="0"/>
        <v>1469.285714285714</v>
      </c>
      <c r="R7" s="35">
        <f>(C7*O7)/L7</f>
        <v>1028.4999999999998</v>
      </c>
      <c r="S7" s="11">
        <f>P7</f>
        <v>617.1</v>
      </c>
      <c r="T7" s="54">
        <f>(SQRT($S7))*(1/('Caudais Vol., Massic., Temp.'!I7*'Caudais Vol., Massic., Temp.'!L7))^(1/6)</f>
        <v>4.4503094455531089</v>
      </c>
    </row>
    <row r="8" spans="1:20" ht="20.100000000000001" customHeight="1" x14ac:dyDescent="0.2">
      <c r="A8" s="7" t="s">
        <v>41</v>
      </c>
      <c r="B8" s="31">
        <v>680</v>
      </c>
      <c r="C8" s="31">
        <v>340</v>
      </c>
      <c r="D8" s="32">
        <v>0.15</v>
      </c>
      <c r="E8" s="33">
        <v>0.1</v>
      </c>
      <c r="F8" s="34">
        <v>0.14000000000000001</v>
      </c>
      <c r="G8" s="33">
        <v>0.05</v>
      </c>
      <c r="H8" s="33">
        <v>0.03</v>
      </c>
      <c r="I8" s="33">
        <v>0.04</v>
      </c>
      <c r="J8" s="32">
        <f t="shared" si="1"/>
        <v>9.9999999999999992E-2</v>
      </c>
      <c r="K8" s="33">
        <f t="shared" si="2"/>
        <v>7.0000000000000007E-2</v>
      </c>
      <c r="L8" s="33">
        <f t="shared" si="3"/>
        <v>0.1</v>
      </c>
      <c r="M8" s="32">
        <f>'Caudais Vol., Massic., Temp.'!E8</f>
        <v>9.2999999999999992E-3</v>
      </c>
      <c r="N8" s="33"/>
      <c r="O8" s="34"/>
      <c r="P8" s="9">
        <f>(B8*M8)/J8</f>
        <v>63.24</v>
      </c>
      <c r="Q8" s="9"/>
      <c r="R8" s="35"/>
      <c r="S8" s="11">
        <f>MAX(P8:R8)</f>
        <v>63.24</v>
      </c>
      <c r="T8" s="54">
        <f>(SQRT($S8))*(1/('Caudais Vol., Massic., Temp.'!I8*'Caudais Vol., Massic., Temp.'!L8))^(1/6)</f>
        <v>1.1814502518276266</v>
      </c>
    </row>
    <row r="9" spans="1:20" ht="20.100000000000001" customHeight="1" x14ac:dyDescent="0.2">
      <c r="A9" s="7" t="s">
        <v>42</v>
      </c>
      <c r="B9" s="31">
        <v>680</v>
      </c>
      <c r="C9" s="31">
        <v>340</v>
      </c>
      <c r="D9" s="32">
        <v>0.15</v>
      </c>
      <c r="E9" s="33">
        <v>0.1</v>
      </c>
      <c r="F9" s="34">
        <v>0.14000000000000001</v>
      </c>
      <c r="G9" s="33">
        <v>0.05</v>
      </c>
      <c r="H9" s="33">
        <v>0.03</v>
      </c>
      <c r="I9" s="33">
        <v>0.04</v>
      </c>
      <c r="J9" s="32">
        <f t="shared" si="1"/>
        <v>9.9999999999999992E-2</v>
      </c>
      <c r="K9" s="33">
        <f t="shared" si="2"/>
        <v>7.0000000000000007E-2</v>
      </c>
      <c r="L9" s="33">
        <f t="shared" si="3"/>
        <v>0.1</v>
      </c>
      <c r="M9" s="32">
        <f>'Caudais Vol., Massic., Temp.'!E9</f>
        <v>1.2E-2</v>
      </c>
      <c r="N9" s="33"/>
      <c r="O9" s="34"/>
      <c r="P9" s="9">
        <f>(B9*M9)/J9</f>
        <v>81.600000000000009</v>
      </c>
      <c r="Q9" s="9"/>
      <c r="R9" s="35"/>
      <c r="S9" s="11">
        <f>MAX(P9:R9)</f>
        <v>81.600000000000009</v>
      </c>
      <c r="T9" s="54">
        <f>(SQRT($S9))*(1/('Caudais Vol., Massic., Temp.'!I9*'Caudais Vol., Massic., Temp.'!L9))^(1/6)</f>
        <v>1.2862188549372013</v>
      </c>
    </row>
    <row r="10" spans="1:20" ht="20.100000000000001" customHeight="1" x14ac:dyDescent="0.2">
      <c r="A10" s="26" t="s">
        <v>53</v>
      </c>
      <c r="B10" s="31">
        <v>680</v>
      </c>
      <c r="C10" s="31">
        <v>340</v>
      </c>
      <c r="D10" s="32">
        <v>0.15</v>
      </c>
      <c r="E10" s="33">
        <v>0.1</v>
      </c>
      <c r="F10" s="34">
        <v>0.14000000000000001</v>
      </c>
      <c r="G10" s="33">
        <v>0.05</v>
      </c>
      <c r="H10" s="33">
        <v>0.03</v>
      </c>
      <c r="I10" s="33">
        <v>0.04</v>
      </c>
      <c r="J10" s="32">
        <f t="shared" si="1"/>
        <v>9.9999999999999992E-2</v>
      </c>
      <c r="K10" s="33">
        <f t="shared" si="2"/>
        <v>7.0000000000000007E-2</v>
      </c>
      <c r="L10" s="33">
        <f t="shared" si="3"/>
        <v>0.1</v>
      </c>
      <c r="M10" s="32">
        <f>'Caudais Vol., Massic., Temp.'!E10</f>
        <v>0.13857999999999998</v>
      </c>
      <c r="N10" s="33">
        <f>'Caudais Vol., Massic., Temp.'!F10</f>
        <v>0.103935</v>
      </c>
      <c r="O10" s="34">
        <f>'Caudais Vol., Massic., Temp.'!G10</f>
        <v>0.34644999999999998</v>
      </c>
      <c r="P10" s="9">
        <f>(B10*M10)/J10</f>
        <v>942.34400000000005</v>
      </c>
      <c r="Q10" s="9">
        <f>(C10*N10)/K10</f>
        <v>504.8271428571428</v>
      </c>
      <c r="R10" s="35">
        <f>(C10*O10)/L10</f>
        <v>1177.9299999999998</v>
      </c>
      <c r="S10" s="11">
        <f>P10</f>
        <v>942.34400000000005</v>
      </c>
      <c r="T10" s="54">
        <f>(SQRT($S10))*(1/('Caudais Vol., Massic., Temp.'!I10*'Caudais Vol., Massic., Temp.'!L10))^(1/6)</f>
        <v>2.3981448986149223</v>
      </c>
    </row>
    <row r="11" spans="1:20" ht="20.100000000000001" customHeight="1" x14ac:dyDescent="0.2">
      <c r="A11" s="26" t="s">
        <v>43</v>
      </c>
      <c r="B11" s="31">
        <v>680</v>
      </c>
      <c r="C11" s="31">
        <v>340</v>
      </c>
      <c r="D11" s="32">
        <v>0.15</v>
      </c>
      <c r="E11" s="33">
        <v>0.1</v>
      </c>
      <c r="F11" s="34">
        <v>0.14000000000000001</v>
      </c>
      <c r="G11" s="33">
        <v>0.05</v>
      </c>
      <c r="H11" s="33">
        <v>0.03</v>
      </c>
      <c r="I11" s="33">
        <v>0.04</v>
      </c>
      <c r="J11" s="32">
        <f t="shared" si="1"/>
        <v>9.9999999999999992E-2</v>
      </c>
      <c r="K11" s="33">
        <f t="shared" si="2"/>
        <v>7.0000000000000007E-2</v>
      </c>
      <c r="L11" s="33">
        <f t="shared" si="3"/>
        <v>0.1</v>
      </c>
      <c r="M11" s="32">
        <f>'Caudais Vol., Massic., Temp.'!E11</f>
        <v>0.158</v>
      </c>
      <c r="N11" s="33"/>
      <c r="O11" s="34"/>
      <c r="P11" s="9">
        <f>(B11*M11)/J11</f>
        <v>1074.4000000000001</v>
      </c>
      <c r="Q11" s="9"/>
      <c r="R11" s="35"/>
      <c r="S11" s="11">
        <f>MAX(P11:R11)</f>
        <v>1074.4000000000001</v>
      </c>
      <c r="T11" s="54">
        <f>(SQRT($S11))*(1/('Caudais Vol., Massic., Temp.'!I11*'Caudais Vol., Massic., Temp.'!L11))^(1/6)</f>
        <v>3.8266330421520336</v>
      </c>
    </row>
    <row r="12" spans="1:20" ht="20.100000000000001" customHeight="1" x14ac:dyDescent="0.2">
      <c r="A12" s="116" t="s">
        <v>54</v>
      </c>
      <c r="B12" s="127">
        <v>680</v>
      </c>
      <c r="C12" s="127">
        <v>340</v>
      </c>
      <c r="D12" s="143">
        <v>0.15</v>
      </c>
      <c r="E12" s="129">
        <v>0.1</v>
      </c>
      <c r="F12" s="144">
        <v>0.14000000000000001</v>
      </c>
      <c r="G12" s="129">
        <v>0.05</v>
      </c>
      <c r="H12" s="129">
        <v>0.03</v>
      </c>
      <c r="I12" s="129">
        <v>0.04</v>
      </c>
      <c r="J12" s="143">
        <f t="shared" si="1"/>
        <v>9.9999999999999992E-2</v>
      </c>
      <c r="K12" s="129">
        <f t="shared" si="2"/>
        <v>7.0000000000000007E-2</v>
      </c>
      <c r="L12" s="129">
        <f t="shared" si="3"/>
        <v>0.1</v>
      </c>
      <c r="M12" s="143">
        <f>'Caudais Vol., Massic., Temp.'!E12</f>
        <v>0.17321999999999999</v>
      </c>
      <c r="N12" s="129">
        <f>'Caudais Vol., Massic., Temp.'!F12</f>
        <v>0.129915</v>
      </c>
      <c r="O12" s="144">
        <f>'Caudais Vol., Massic., Temp.'!G12</f>
        <v>0.43304999999999999</v>
      </c>
      <c r="P12" s="117">
        <f>(B12*M12)/J12</f>
        <v>1177.896</v>
      </c>
      <c r="Q12" s="117">
        <f>(C12*N12)/K12</f>
        <v>631.01571428571424</v>
      </c>
      <c r="R12" s="145">
        <f>(C12*O12)/L12</f>
        <v>1472.37</v>
      </c>
      <c r="S12" s="125">
        <f>P12</f>
        <v>1177.896</v>
      </c>
      <c r="T12" s="149">
        <f>(SQRT($S12))*(1/('Caudais Vol., Massic., Temp.'!I12*'Caudais Vol., Massic., Temp.'!L12))^(1/6)</f>
        <v>2.5832984252289273</v>
      </c>
    </row>
    <row r="13" spans="1:20" ht="20.100000000000001" customHeight="1" x14ac:dyDescent="0.2">
      <c r="A13" s="116" t="s">
        <v>99</v>
      </c>
      <c r="B13" s="127">
        <v>680</v>
      </c>
      <c r="C13" s="127">
        <v>340</v>
      </c>
      <c r="D13" s="143">
        <v>0.15</v>
      </c>
      <c r="E13" s="129">
        <v>0.1</v>
      </c>
      <c r="F13" s="144">
        <v>0.14000000000000001</v>
      </c>
      <c r="G13" s="129">
        <v>0.05</v>
      </c>
      <c r="H13" s="129">
        <v>0.03</v>
      </c>
      <c r="I13" s="129">
        <v>0.04</v>
      </c>
      <c r="J13" s="143">
        <f t="shared" ref="J13:J14" si="4">D13-G13</f>
        <v>9.9999999999999992E-2</v>
      </c>
      <c r="K13" s="129">
        <f t="shared" ref="K13:K14" si="5">E13-H13</f>
        <v>7.0000000000000007E-2</v>
      </c>
      <c r="L13" s="129">
        <f t="shared" ref="L13:L14" si="6">F13-I13</f>
        <v>0.1</v>
      </c>
      <c r="M13" s="143">
        <f>'Caudais Vol., Massic., Temp.'!E13</f>
        <v>1.6E-2</v>
      </c>
      <c r="N13" s="129"/>
      <c r="O13" s="144"/>
      <c r="P13" s="117">
        <f t="shared" ref="P13:P14" si="7">(B13*M13)/J13</f>
        <v>108.80000000000001</v>
      </c>
      <c r="Q13" s="117"/>
      <c r="R13" s="145"/>
      <c r="S13" s="117">
        <f>P13</f>
        <v>108.80000000000001</v>
      </c>
      <c r="T13" s="151">
        <f>(SQRT($S13))*(1/('Caudais Vol., Massic., Temp.'!I13*'Caudais Vol., Massic., Temp.'!L13))^(1/6)</f>
        <v>1.4156670283863966</v>
      </c>
    </row>
    <row r="14" spans="1:20" ht="20.100000000000001" customHeight="1" thickBot="1" x14ac:dyDescent="0.25">
      <c r="A14" s="119" t="s">
        <v>100</v>
      </c>
      <c r="B14" s="136">
        <v>680</v>
      </c>
      <c r="C14" s="136">
        <v>340</v>
      </c>
      <c r="D14" s="161">
        <v>0.15</v>
      </c>
      <c r="E14" s="162">
        <v>0.1</v>
      </c>
      <c r="F14" s="163">
        <v>0.14000000000000001</v>
      </c>
      <c r="G14" s="162">
        <v>0.05</v>
      </c>
      <c r="H14" s="162">
        <v>0.03</v>
      </c>
      <c r="I14" s="162">
        <v>0.04</v>
      </c>
      <c r="J14" s="161">
        <f t="shared" si="4"/>
        <v>9.9999999999999992E-2</v>
      </c>
      <c r="K14" s="162">
        <f t="shared" si="5"/>
        <v>7.0000000000000007E-2</v>
      </c>
      <c r="L14" s="162">
        <f t="shared" si="6"/>
        <v>0.1</v>
      </c>
      <c r="M14" s="161">
        <f>'Caudais Vol., Massic., Temp.'!E14</f>
        <v>2.4999999999999998E-2</v>
      </c>
      <c r="N14" s="162"/>
      <c r="O14" s="163"/>
      <c r="P14" s="121">
        <f t="shared" si="7"/>
        <v>170</v>
      </c>
      <c r="Q14" s="121"/>
      <c r="R14" s="164"/>
      <c r="S14" s="121">
        <f>P14</f>
        <v>170</v>
      </c>
      <c r="T14" s="154">
        <f>(SQRT($S14))*(1/('Caudais Vol., Massic., Temp.'!I14*'Caudais Vol., Massic., Temp.'!L14))^(1/6)</f>
        <v>1.6427360677680216</v>
      </c>
    </row>
    <row r="15" spans="1:20" s="107" customFormat="1" ht="20.100000000000001" customHeight="1" x14ac:dyDescent="0.2">
      <c r="A15" s="103"/>
      <c r="B15" s="104"/>
      <c r="C15" s="104"/>
      <c r="D15" s="104"/>
      <c r="E15" s="104"/>
      <c r="F15" s="104"/>
      <c r="G15" s="104"/>
      <c r="H15" s="104"/>
      <c r="I15" s="104"/>
      <c r="J15" s="104"/>
      <c r="K15" s="104"/>
      <c r="L15" s="104"/>
      <c r="M15" s="104"/>
      <c r="N15" s="104"/>
      <c r="O15" s="104"/>
      <c r="P15" s="105"/>
      <c r="Q15" s="105"/>
      <c r="R15" s="105"/>
      <c r="S15" s="105"/>
      <c r="T15" s="106"/>
    </row>
    <row r="16" spans="1:20" ht="20.100000000000001" customHeight="1" x14ac:dyDescent="0.2">
      <c r="A16" s="182" t="s">
        <v>83</v>
      </c>
    </row>
    <row r="17" spans="1:1" ht="20.100000000000001" customHeight="1" x14ac:dyDescent="0.2">
      <c r="A17" s="182"/>
    </row>
    <row r="18" spans="1:1" ht="20.100000000000001" customHeight="1" x14ac:dyDescent="0.2">
      <c r="A18" s="182"/>
    </row>
  </sheetData>
  <mergeCells count="19">
    <mergeCell ref="T1:T2"/>
    <mergeCell ref="K1:K2"/>
    <mergeCell ref="S1:S2"/>
    <mergeCell ref="P1:P2"/>
    <mergeCell ref="R1:R2"/>
    <mergeCell ref="Q1:Q2"/>
    <mergeCell ref="L1:L2"/>
    <mergeCell ref="O1:O2"/>
    <mergeCell ref="N1:N2"/>
    <mergeCell ref="M1:M2"/>
    <mergeCell ref="A16:A18"/>
    <mergeCell ref="D1:D2"/>
    <mergeCell ref="G1:G2"/>
    <mergeCell ref="J1:J2"/>
    <mergeCell ref="A1:A2"/>
    <mergeCell ref="C1:C2"/>
    <mergeCell ref="B1:B2"/>
    <mergeCell ref="E1:F1"/>
    <mergeCell ref="H1:I1"/>
  </mergeCells>
  <phoneticPr fontId="0" type="noConversion"/>
  <pageMargins left="0.44" right="0.75" top="0.45" bottom="0.36" header="0" footer="0"/>
  <pageSetup paperSize="9" scale="70" orientation="landscape" horizontalDpi="4294967293" r:id="rId1"/>
  <headerFooter alignWithMargins="0">
    <oddHeader>&amp;C&amp;"Tahoma,Normal"&amp;11Cálculo do S</oddHeader>
  </headerFooter>
  <ignoredErrors>
    <ignoredError sqref="S1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2"/>
  <dimension ref="A1:J27"/>
  <sheetViews>
    <sheetView zoomScaleNormal="100" workbookViewId="0">
      <selection activeCell="B18" sqref="B18:C18"/>
    </sheetView>
  </sheetViews>
  <sheetFormatPr defaultRowHeight="12" x14ac:dyDescent="0.2"/>
  <cols>
    <col min="1" max="1" width="26.7109375" style="31" customWidth="1"/>
    <col min="2" max="2" width="40.7109375" style="31" customWidth="1"/>
    <col min="3" max="4" width="16.7109375" style="33" customWidth="1"/>
    <col min="5" max="7" width="16.7109375" style="46" customWidth="1"/>
    <col min="8" max="8" width="12.7109375" style="46" customWidth="1"/>
    <col min="9" max="9" width="20.7109375" style="9" customWidth="1"/>
    <col min="10" max="10" width="12.7109375" style="9" customWidth="1"/>
    <col min="11" max="11" width="11.85546875" style="31" bestFit="1" customWidth="1"/>
    <col min="12" max="12" width="9.140625" style="31"/>
    <col min="13" max="13" width="11.28515625" style="31" bestFit="1" customWidth="1"/>
    <col min="14" max="16384" width="9.140625" style="31"/>
  </cols>
  <sheetData>
    <row r="1" spans="1:10" s="47" customFormat="1" ht="20.100000000000001" customHeight="1" x14ac:dyDescent="0.2">
      <c r="A1" s="177" t="s">
        <v>6</v>
      </c>
      <c r="B1" s="177" t="s">
        <v>10</v>
      </c>
      <c r="C1" s="186" t="s">
        <v>106</v>
      </c>
      <c r="D1" s="190" t="s">
        <v>107</v>
      </c>
      <c r="E1" s="190" t="s">
        <v>108</v>
      </c>
      <c r="F1" s="190" t="s">
        <v>109</v>
      </c>
      <c r="G1" s="190" t="s">
        <v>36</v>
      </c>
      <c r="H1" s="190" t="s">
        <v>92</v>
      </c>
      <c r="I1" s="170" t="str">
        <f>'Caudais Vol., Massic., Temp.'!L1:L2</f>
        <v>Variação da Temperatura
(Kelvin)</v>
      </c>
      <c r="J1" s="170" t="s">
        <v>7</v>
      </c>
    </row>
    <row r="2" spans="1:10" s="47" customFormat="1" ht="20.100000000000001" customHeight="1" thickBot="1" x14ac:dyDescent="0.25">
      <c r="A2" s="178"/>
      <c r="B2" s="178"/>
      <c r="C2" s="187"/>
      <c r="D2" s="191"/>
      <c r="E2" s="191"/>
      <c r="F2" s="191"/>
      <c r="G2" s="191"/>
      <c r="H2" s="191"/>
      <c r="I2" s="176"/>
      <c r="J2" s="176"/>
    </row>
    <row r="3" spans="1:10" ht="20.100000000000001" customHeight="1" x14ac:dyDescent="0.2">
      <c r="A3" s="4" t="s">
        <v>49</v>
      </c>
      <c r="B3" s="195" t="s">
        <v>113</v>
      </c>
      <c r="C3" s="39">
        <f>'Caudais Vol., Massic., Temp.'!E3+'Caudais Vol., Massic., Temp.'!E4+'Caudais Vol., Massic., Temp.'!E5+'Caudais Vol., Massic., Temp.'!E6+'Caudais Vol., Massic., Temp.'!E7+'Caudais Vol., Massic., Temp.'!E8+'Caudais Vol., Massic., Temp.'!E10+'Caudais Vol., Massic., Temp.'!E12+'Caudais Vol., Massic., Temp.'!E13</f>
        <v>1.4724300000000001</v>
      </c>
      <c r="D3" s="39">
        <f>'Caudais Vol., Massic., Temp.'!F3+'Caudais Vol., Massic., Temp.'!F4+'Caudais Vol., Massic., Temp.'!F5+'Caudais Vol., Massic., Temp.'!F6+'Caudais Vol., Massic., Temp.'!F7+'Caudais Vol., Massic., Temp.'!F8+'Caudais Vol., Massic., Temp.'!F10+'Caudais Vol., Massic., Temp.'!F12+'Caudais Vol., Massic., Temp.'!F13</f>
        <v>3.257285</v>
      </c>
      <c r="E3" s="39">
        <f>'Caudais Vol., Massic., Temp.'!G3+'Caudais Vol., Massic., Temp.'!G4+'Caudais Vol., Massic., Temp.'!G5+'Caudais Vol., Massic., Temp.'!G6+'Caudais Vol., Massic., Temp.'!G7+'Caudais Vol., Massic., Temp.'!G8+'Caudais Vol., Massic., Temp.'!G10+'Caudais Vol., Massic., Temp.'!G12+'Caudais Vol., Massic., Temp.'!G13</f>
        <v>4.3184499999999995</v>
      </c>
      <c r="F3" s="39"/>
      <c r="G3" s="146">
        <f>('Cálculo de S e Hp'!B3*'Hp(Dependência de Chaminés)'!C3)/'Cálculo de S e Hp'!J3</f>
        <v>10012.524000000001</v>
      </c>
      <c r="H3" s="147">
        <f>'Caudais Vol., Massic., Temp.'!I3+'Caudais Vol., Massic., Temp.'!I4+'Caudais Vol., Massic., Temp.'!I5+'Caudais Vol., Massic., Temp.'!I6+'Caudais Vol., Massic., Temp.'!I7+'Caudais Vol., Massic., Temp.'!I8+'Caudais Vol., Massic., Temp.'!I10+'Caudais Vol., Massic., Temp.'!I12+'Caudais Vol., Massic., Temp.'!I13</f>
        <v>40984</v>
      </c>
      <c r="I3" s="110">
        <f>AVERAGE('Caudais Vol., Massic., Temp.'!L3,'Caudais Vol., Massic., Temp.'!L4,'Caudais Vol., Massic., Temp.'!L5,'Caudais Vol., Massic., Temp.'!L6,'Caudais Vol., Massic., Temp.'!L7,'Caudais Vol., Massic., Temp.'!L8,'Caudais Vol., Massic., Temp.'!L10,'Caudais Vol., Massic., Temp.'!L12,'Caudais Vol., Massic., Temp.'!L13)</f>
        <v>298.04444444444448</v>
      </c>
      <c r="J3" s="98">
        <f>(SQRT(G3)*(1/(H3*I3))^(1/6))</f>
        <v>6.5935993758972495</v>
      </c>
    </row>
    <row r="4" spans="1:10" ht="20.100000000000001" customHeight="1" x14ac:dyDescent="0.2">
      <c r="A4" s="7" t="s">
        <v>50</v>
      </c>
      <c r="B4" s="196" t="s">
        <v>114</v>
      </c>
      <c r="C4" s="41">
        <f>'Caudais Vol., Massic., Temp.'!E3+'Caudais Vol., Massic., Temp.'!E4+'Caudais Vol., Massic., Temp.'!E5+'Caudais Vol., Massic., Temp.'!E6+'Caudais Vol., Massic., Temp.'!E7+'Caudais Vol., Massic., Temp.'!E8+'Caudais Vol., Massic., Temp.'!E9+'Caudais Vol., Massic., Temp.'!E10+'Caudais Vol., Massic., Temp.'!E12+'Caudais Vol., Massic., Temp.'!E13+'Caudais Vol., Massic., Temp.'!E14</f>
        <v>1.50943</v>
      </c>
      <c r="D4" s="41">
        <f>'Caudais Vol., Massic., Temp.'!F3+'Caudais Vol., Massic., Temp.'!F4+'Caudais Vol., Massic., Temp.'!F5+'Caudais Vol., Massic., Temp.'!F6+'Caudais Vol., Massic., Temp.'!F7+'Caudais Vol., Massic., Temp.'!F8+'Caudais Vol., Massic., Temp.'!F9+'Caudais Vol., Massic., Temp.'!F10+'Caudais Vol., Massic., Temp.'!F12+'Caudais Vol., Massic., Temp.'!F13+'Caudais Vol., Massic., Temp.'!F14</f>
        <v>3.257285</v>
      </c>
      <c r="E4" s="41">
        <f>'Caudais Vol., Massic., Temp.'!G3+'Caudais Vol., Massic., Temp.'!G4+'Caudais Vol., Massic., Temp.'!G5+'Caudais Vol., Massic., Temp.'!G6+'Caudais Vol., Massic., Temp.'!G7+'Caudais Vol., Massic., Temp.'!G8+'Caudais Vol., Massic., Temp.'!G9+'Caudais Vol., Massic., Temp.'!G10+'Caudais Vol., Massic., Temp.'!G12+'Caudais Vol., Massic., Temp.'!G13+'Caudais Vol., Massic., Temp.'!G14</f>
        <v>4.3184499999999995</v>
      </c>
      <c r="F4" s="41"/>
      <c r="G4" s="43">
        <f>('Cálculo de S e Hp'!B4*'Hp(Dependência de Chaminés)'!C4)/'Cálculo de S e Hp'!J4</f>
        <v>10264.124</v>
      </c>
      <c r="H4" s="45">
        <f>'Caudais Vol., Massic., Temp.'!I3+'Caudais Vol., Massic., Temp.'!I4+'Caudais Vol., Massic., Temp.'!I5+'Caudais Vol., Massic., Temp.'!I6+'Caudais Vol., Massic., Temp.'!I7+'Caudais Vol., Massic., Temp.'!I8+'Caudais Vol., Massic., Temp.'!I9+'Caudais Vol., Massic., Temp.'!I10+'Caudais Vol., Massic., Temp.'!I12+'Caudais Vol., Massic., Temp.'!I13+'Caudais Vol., Massic., Temp.'!I14</f>
        <v>48384</v>
      </c>
      <c r="I4" s="6">
        <f>AVERAGE('Caudais Vol., Massic., Temp.'!L3,'Caudais Vol., Massic., Temp.'!L4,'Caudais Vol., Massic., Temp.'!L5,'Caudais Vol., Massic., Temp.'!L6,'Caudais Vol., Massic., Temp.'!L7,'Caudais Vol., Massic., Temp.'!L8,'Caudais Vol., Massic., Temp.'!L9,'Caudais Vol., Massic., Temp.'!L10,'Caudais Vol., Massic., Temp.'!L12,'Caudais Vol., Massic., Temp.'!L13,'Caudais Vol., Massic., Temp.'!L14)</f>
        <v>252.94545454545457</v>
      </c>
      <c r="J4" s="51">
        <f t="shared" ref="J4:J13" si="0">(SQRT(G4)*(1/(H4*I4))^(1/6))</f>
        <v>6.673794610289435</v>
      </c>
    </row>
    <row r="5" spans="1:10" s="21" customFormat="1" ht="20.100000000000001" customHeight="1" x14ac:dyDescent="0.2">
      <c r="A5" s="7" t="s">
        <v>51</v>
      </c>
      <c r="B5" s="196" t="s">
        <v>96</v>
      </c>
      <c r="C5" s="41">
        <f>'Caudais Vol., Massic., Temp.'!E3+'Caudais Vol., Massic., Temp.'!E4+'Caudais Vol., Massic., Temp.'!E5+'Caudais Vol., Massic., Temp.'!E6+'Caudais Vol., Massic., Temp.'!E7+'Caudais Vol., Massic., Temp.'!E10+'Caudais Vol., Massic., Temp.'!E12</f>
        <v>1.44713</v>
      </c>
      <c r="D5" s="41">
        <f>'Caudais Vol., Massic., Temp.'!F3+'Caudais Vol., Massic., Temp.'!F4+'Caudais Vol., Massic., Temp.'!F5+'Caudais Vol., Massic., Temp.'!F6+'Caudais Vol., Massic., Temp.'!F7+'Caudais Vol., Massic., Temp.'!F10+'Caudais Vol., Massic., Temp.'!F12</f>
        <v>3.257285</v>
      </c>
      <c r="E5" s="41">
        <f>'Caudais Vol., Massic., Temp.'!G3+'Caudais Vol., Massic., Temp.'!G4+'Caudais Vol., Massic., Temp.'!G5+'Caudais Vol., Massic., Temp.'!G6+'Caudais Vol., Massic., Temp.'!G7+'Caudais Vol., Massic., Temp.'!G10+'Caudais Vol., Massic., Temp.'!G12</f>
        <v>4.3184499999999995</v>
      </c>
      <c r="F5" s="41"/>
      <c r="G5" s="43">
        <f>('Cálculo de S e Hp'!B5*'Hp(Dependência de Chaminés)'!C5)/'Cálculo de S e Hp'!J5</f>
        <v>9840.4840000000004</v>
      </c>
      <c r="H5" s="45">
        <f>'Caudais Vol., Massic., Temp.'!I3+'Caudais Vol., Massic., Temp.'!I4+'Caudais Vol., Massic., Temp.'!I5+'Caudais Vol., Massic., Temp.'!I6+'Caudais Vol., Massic., Temp.'!I7+'Caudais Vol., Massic., Temp.'!I10+'Caudais Vol., Massic., Temp.'!I12</f>
        <v>35924</v>
      </c>
      <c r="I5" s="6">
        <f>AVERAGE('Caudais Vol., Massic., Temp.'!L3,'Caudais Vol., Massic., Temp.'!L4,'Caudais Vol., Massic., Temp.'!L5,'Caudais Vol., Massic., Temp.'!L6,'Caudais Vol., Massic., Temp.'!L7,'Caudais Vol., Massic., Temp.'!L10,'Caudais Vol., Massic., Temp.'!L12)</f>
        <v>368.91428571428571</v>
      </c>
      <c r="J5" s="51">
        <f t="shared" si="0"/>
        <v>6.4484678112539733</v>
      </c>
    </row>
    <row r="6" spans="1:10" ht="20.100000000000001" customHeight="1" x14ac:dyDescent="0.2">
      <c r="A6" s="7" t="s">
        <v>52</v>
      </c>
      <c r="B6" s="196" t="s">
        <v>88</v>
      </c>
      <c r="C6" s="41">
        <f>'Caudais Vol., Massic., Temp.'!E3+'Caudais Vol., Massic., Temp.'!E4+'Caudais Vol., Massic., Temp.'!E5+'Caudais Vol., Massic., Temp.'!E6+'Caudais Vol., Massic., Temp.'!E7+'Caudais Vol., Massic., Temp.'!E8+'Caudais Vol., Massic., Temp.'!E10+'Caudais Vol., Massic., Temp.'!E12</f>
        <v>1.4564300000000001</v>
      </c>
      <c r="D6" s="41">
        <f>'Caudais Vol., Massic., Temp.'!F3+'Caudais Vol., Massic., Temp.'!F4+'Caudais Vol., Massic., Temp.'!F5+'Caudais Vol., Massic., Temp.'!F6+'Caudais Vol., Massic., Temp.'!F7+'Caudais Vol., Massic., Temp.'!F8+'Caudais Vol., Massic., Temp.'!F10+'Caudais Vol., Massic., Temp.'!F12</f>
        <v>3.257285</v>
      </c>
      <c r="E6" s="41">
        <f>'Caudais Vol., Massic., Temp.'!G3+'Caudais Vol., Massic., Temp.'!G4+'Caudais Vol., Massic., Temp.'!G5+'Caudais Vol., Massic., Temp.'!G6+'Caudais Vol., Massic., Temp.'!G7+'Caudais Vol., Massic., Temp.'!G8+'Caudais Vol., Massic., Temp.'!G10+'Caudais Vol., Massic., Temp.'!G12</f>
        <v>4.3184499999999995</v>
      </c>
      <c r="F6" s="41"/>
      <c r="G6" s="43">
        <f>('Cálculo de S e Hp'!B6*'Hp(Dependência de Chaminés)'!C6)/'Cálculo de S e Hp'!J6</f>
        <v>9903.724000000002</v>
      </c>
      <c r="H6" s="45">
        <f>'Caudais Vol., Massic., Temp.'!I3+'Caudais Vol., Massic., Temp.'!I4+'Caudais Vol., Massic., Temp.'!I5+'Caudais Vol., Massic., Temp.'!I6+'Caudais Vol., Massic., Temp.'!I7+'Caudais Vol., Massic., Temp.'!I8+'Caudais Vol., Massic., Temp.'!I10+'Caudais Vol., Massic., Temp.'!I12</f>
        <v>37784</v>
      </c>
      <c r="I6" s="6">
        <f>AVERAGE('Caudais Vol., Massic., Temp.'!L3,'Caudais Vol., Massic., Temp.'!L4,'Caudais Vol., Massic., Temp.'!L5,'Caudais Vol., Massic., Temp.'!L6,'Caudais Vol., Massic., Temp.'!L7,'Caudais Vol., Massic., Temp.'!L8,'Caudais Vol., Massic., Temp.'!L10,'Caudais Vol., Massic., Temp.'!L12)</f>
        <v>329.05</v>
      </c>
      <c r="J6" s="51">
        <f t="shared" si="0"/>
        <v>6.5383920789801548</v>
      </c>
    </row>
    <row r="7" spans="1:10" ht="20.100000000000001" customHeight="1" x14ac:dyDescent="0.2">
      <c r="A7" s="7" t="s">
        <v>40</v>
      </c>
      <c r="B7" s="196" t="s">
        <v>89</v>
      </c>
      <c r="C7" s="41">
        <f>'Caudais Vol., Massic., Temp.'!E3+'Caudais Vol., Massic., Temp.'!E4+'Caudais Vol., Massic., Temp.'!E5+'Caudais Vol., Massic., Temp.'!E6+'Caudais Vol., Massic., Temp.'!E7+'Caudais Vol., Massic., Temp.'!E10+'Caudais Vol., Massic., Temp.'!E11+'Caudais Vol., Massic., Temp.'!E12</f>
        <v>1.6051299999999999</v>
      </c>
      <c r="D7" s="41">
        <f>'Caudais Vol., Massic., Temp.'!F3+'Caudais Vol., Massic., Temp.'!F4+'Caudais Vol., Massic., Temp.'!F5+'Caudais Vol., Massic., Temp.'!F6+'Caudais Vol., Massic., Temp.'!F7+'Caudais Vol., Massic., Temp.'!F10+'Caudais Vol., Massic., Temp.'!F11+'Caudais Vol., Massic., Temp.'!F12</f>
        <v>3.257285</v>
      </c>
      <c r="E7" s="41">
        <f>'Caudais Vol., Massic., Temp.'!G3+'Caudais Vol., Massic., Temp.'!G4+'Caudais Vol., Massic., Temp.'!G5+'Caudais Vol., Massic., Temp.'!G6+'Caudais Vol., Massic., Temp.'!G7+'Caudais Vol., Massic., Temp.'!G10+'Caudais Vol., Massic., Temp.'!G11+'Caudais Vol., Massic., Temp.'!G12</f>
        <v>4.3184499999999995</v>
      </c>
      <c r="F7" s="41"/>
      <c r="G7" s="43">
        <f>('Cálculo de S e Hp'!B7*'Hp(Dependência de Chaminés)'!C7)/'Cálculo de S e Hp'!J7</f>
        <v>10914.884</v>
      </c>
      <c r="H7" s="45">
        <f>'Caudais Vol., Massic., Temp.'!I3+'Caudais Vol., Massic., Temp.'!I4+'Caudais Vol., Massic., Temp.'!I5+'Caudais Vol., Massic., Temp.'!I6+'Caudais Vol., Massic., Temp.'!I7+'Caudais Vol., Massic., Temp.'!I10+'Caudais Vol., Massic., Temp.'!I11+'Caudais Vol., Massic., Temp.'!I12</f>
        <v>43824</v>
      </c>
      <c r="I7" s="6">
        <f>AVERAGE('Caudais Vol., Massic., Temp.'!L3,'Caudais Vol., Massic., Temp.'!L4,'Caudais Vol., Massic., Temp.'!L5,'Caudais Vol., Massic., Temp.'!L6,'Caudais Vol., Massic., Temp.'!L7,'Caudais Vol., Massic., Temp.'!L10,'Caudais Vol., Massic., Temp.'!L11,'Caudais Vol., Massic., Temp.'!L12)</f>
        <v>329.05</v>
      </c>
      <c r="J7" s="51">
        <f t="shared" si="0"/>
        <v>6.6964902974228462</v>
      </c>
    </row>
    <row r="8" spans="1:10" ht="20.100000000000001" customHeight="1" x14ac:dyDescent="0.2">
      <c r="A8" s="7" t="s">
        <v>41</v>
      </c>
      <c r="B8" s="196" t="s">
        <v>115</v>
      </c>
      <c r="C8" s="41">
        <f>'Caudais Vol., Massic., Temp.'!E3+'Caudais Vol., Massic., Temp.'!E4+'Caudais Vol., Massic., Temp.'!E6+'Caudais Vol., Massic., Temp.'!E8+'Caudais Vol., Massic., Temp.'!E9+'Caudais Vol., Massic., Temp.'!E13+'Caudais Vol., Massic., Temp.'!E14</f>
        <v>0.35687999999999998</v>
      </c>
      <c r="D8" s="41">
        <f>'Caudais Vol., Massic., Temp.'!F3+'Caudais Vol., Massic., Temp.'!F4+'Caudais Vol., Massic., Temp.'!F6+'Caudais Vol., Massic., Temp.'!F8+'Caudais Vol., Massic., Temp.'!F9+'Caudais Vol., Massic., Temp.'!F13+'Caudais Vol., Massic., Temp.'!F14</f>
        <v>0.22093499999999999</v>
      </c>
      <c r="E8" s="41">
        <f>'Caudais Vol., Massic., Temp.'!G3+'Caudais Vol., Massic., Temp.'!G4+'Caudais Vol., Massic., Temp.'!G6+'Caudais Vol., Massic., Temp.'!G8+'Caudais Vol., Massic., Temp.'!G9+'Caudais Vol., Massic., Temp.'!G13+'Caudais Vol., Massic., Temp.'!G14</f>
        <v>0.73645000000000005</v>
      </c>
      <c r="F8" s="41"/>
      <c r="G8" s="43">
        <f>('Cálculo de S e Hp'!B8*C8)/'Cálculo de S e Hp'!J8</f>
        <v>2426.7840000000001</v>
      </c>
      <c r="H8" s="45">
        <f>'Caudais Vol., Massic., Temp.'!I3+'Caudais Vol., Massic., Temp.'!I4+'Caudais Vol., Massic., Temp.'!I6+'Caudais Vol., Massic., Temp.'!I8+'Caudais Vol., Massic., Temp.'!I9+'Caudais Vol., Massic., Temp.'!I13+'Caudais Vol., Massic., Temp.'!I14</f>
        <v>27189</v>
      </c>
      <c r="I8" s="6">
        <f>AVERAGE('Caudais Vol., Massic., Temp.'!L3,'Caudais Vol., Massic., Temp.'!L4,'Caudais Vol., Massic., Temp.'!L6,'Caudais Vol., Massic., Temp.'!L8,'Caudais Vol., Massic., Temp.'!L9,'Caudais Vol., Massic., Temp.'!L13,'Caudais Vol., Massic., Temp.'!L14)</f>
        <v>200.67142857142855</v>
      </c>
      <c r="J8" s="51">
        <f t="shared" si="0"/>
        <v>3.7128074935720954</v>
      </c>
    </row>
    <row r="9" spans="1:10" ht="20.100000000000001" customHeight="1" x14ac:dyDescent="0.2">
      <c r="A9" s="7" t="s">
        <v>42</v>
      </c>
      <c r="B9" s="196" t="s">
        <v>116</v>
      </c>
      <c r="C9" s="41">
        <f>'Caudais Vol., Massic., Temp.'!E4+'Caudais Vol., Massic., Temp.'!E8+'Caudais Vol., Massic., Temp.'!E9+'Caudais Vol., Massic., Temp.'!E13+'Caudais Vol., Massic., Temp.'!E14</f>
        <v>0.16629999999999998</v>
      </c>
      <c r="D9" s="41">
        <f>'Caudais Vol., Massic., Temp.'!F4+'Caudais Vol., Massic., Temp.'!F8+'Caudais Vol., Massic., Temp.'!F9+'Caudais Vol., Massic., Temp.'!F13+'Caudais Vol., Massic., Temp.'!F14</f>
        <v>7.8E-2</v>
      </c>
      <c r="E9" s="41">
        <f>'Caudais Vol., Massic., Temp.'!G4+'Caudais Vol., Massic., Temp.'!G8+'Caudais Vol., Massic., Temp.'!G9+'Caudais Vol., Massic., Temp.'!G13+'Caudais Vol., Massic., Temp.'!G14</f>
        <v>0.26</v>
      </c>
      <c r="F9" s="41"/>
      <c r="G9" s="43">
        <f>('Cálculo de S e Hp'!B9*C9)/'Cálculo de S e Hp'!J9</f>
        <v>1130.8399999999999</v>
      </c>
      <c r="H9" s="45">
        <f>'Caudais Vol., Massic., Temp.'!I4+'Caudais Vol., Massic., Temp.'!I8+'Caudais Vol., Massic., Temp.'!I9+'Caudais Vol., Massic., Temp.'!I13+'Caudais Vol., Massic., Temp.'!I14</f>
        <v>17660</v>
      </c>
      <c r="I9" s="6">
        <f>AVERAGE('Caudais Vol., Massic., Temp.'!L4,'Caudais Vol., Massic., Temp.'!L8,'Caudais Vol., Massic., Temp.'!L9,'Caudais Vol., Massic., Temp.'!L13,'Caudais Vol., Massic., Temp.'!L14)</f>
        <v>96.97999999999999</v>
      </c>
      <c r="J9" s="51">
        <f t="shared" si="0"/>
        <v>3.0743626912021624</v>
      </c>
    </row>
    <row r="10" spans="1:10" ht="20.100000000000001" customHeight="1" x14ac:dyDescent="0.2">
      <c r="A10" s="7" t="s">
        <v>53</v>
      </c>
      <c r="B10" s="196" t="s">
        <v>90</v>
      </c>
      <c r="C10" s="41">
        <f>'Caudais Vol., Massic., Temp.'!E3+'Caudais Vol., Massic., Temp.'!E4+'Caudais Vol., Massic., Temp.'!E5+'Caudais Vol., Massic., Temp.'!E6+'Caudais Vol., Massic., Temp.'!E7+'Caudais Vol., Massic., Temp.'!E10+'Caudais Vol., Massic., Temp.'!E12</f>
        <v>1.44713</v>
      </c>
      <c r="D10" s="41">
        <f>'Caudais Vol., Massic., Temp.'!F3+'Caudais Vol., Massic., Temp.'!F4+'Caudais Vol., Massic., Temp.'!F5+'Caudais Vol., Massic., Temp.'!F6+'Caudais Vol., Massic., Temp.'!F7+'Caudais Vol., Massic., Temp.'!F10+'Caudais Vol., Massic., Temp.'!F12</f>
        <v>3.257285</v>
      </c>
      <c r="E10" s="41">
        <f>'Caudais Vol., Massic., Temp.'!G3+'Caudais Vol., Massic., Temp.'!G4+'Caudais Vol., Massic., Temp.'!G5+'Caudais Vol., Massic., Temp.'!G6+'Caudais Vol., Massic., Temp.'!G7+'Caudais Vol., Massic., Temp.'!G10+'Caudais Vol., Massic., Temp.'!G12</f>
        <v>4.3184499999999995</v>
      </c>
      <c r="F10" s="41"/>
      <c r="G10" s="44">
        <f>('Cálculo de S e Hp'!B10*'Hp(Dependência de Chaminés)'!C10)/'Cálculo de S e Hp'!J10</f>
        <v>9840.4840000000004</v>
      </c>
      <c r="H10" s="45">
        <f>'Caudais Vol., Massic., Temp.'!I3+'Caudais Vol., Massic., Temp.'!I4+'Caudais Vol., Massic., Temp.'!I5+'Caudais Vol., Massic., Temp.'!I6+'Caudais Vol., Massic., Temp.'!I7+'Caudais Vol., Massic., Temp.'!I10+'Caudais Vol., Massic., Temp.'!I12</f>
        <v>35924</v>
      </c>
      <c r="I10" s="6">
        <f>AVERAGE('Caudais Vol., Massic., Temp.'!L3,'Caudais Vol., Massic., Temp.'!L4,'Caudais Vol., Massic., Temp.'!L5,'Caudais Vol., Massic., Temp.'!L6,'Caudais Vol., Massic., Temp.'!L7,'Caudais Vol., Massic., Temp.'!L10,'Caudais Vol., Massic., Temp.'!L12)</f>
        <v>368.91428571428571</v>
      </c>
      <c r="J10" s="51">
        <f t="shared" si="0"/>
        <v>6.4484678112539733</v>
      </c>
    </row>
    <row r="11" spans="1:10" ht="20.100000000000001" customHeight="1" x14ac:dyDescent="0.2">
      <c r="A11" s="7" t="s">
        <v>43</v>
      </c>
      <c r="B11" s="196" t="s">
        <v>91</v>
      </c>
      <c r="C11" s="41">
        <f>'Caudais Vol., Massic., Temp.'!E7+'Caudais Vol., Massic., Temp.'!E11+'Caudais Vol., Massic., Temp.'!E12</f>
        <v>0.42196999999999996</v>
      </c>
      <c r="D11" s="41">
        <f>'Caudais Vol., Massic., Temp.'!F7+'Caudais Vol., Massic., Temp.'!F11+'Caudais Vol., Massic., Temp.'!F12</f>
        <v>0.43241499999999999</v>
      </c>
      <c r="E11" s="41">
        <f>'Caudais Vol., Massic., Temp.'!G7+'Caudais Vol., Massic., Temp.'!G11+'Caudais Vol., Massic., Temp.'!G12</f>
        <v>0.73554999999999993</v>
      </c>
      <c r="F11" s="41"/>
      <c r="G11" s="44">
        <f>('Cálculo de S e Hp'!B11*'Hp(Dependência de Chaminés)'!C11)/'Cálculo de S e Hp'!J11</f>
        <v>2869.3960000000002</v>
      </c>
      <c r="H11" s="45">
        <f>'Caudais Vol., Massic., Temp.'!I7+'Caudais Vol., Massic., Temp.'!I11+'Caudais Vol., Massic., Temp.'!I12</f>
        <v>17166</v>
      </c>
      <c r="I11" s="6">
        <f>AVERAGE('Caudais Vol., Massic., Temp.'!L7,'Caudais Vol., Massic., Temp.'!L11,'Caudais Vol., Massic., Temp.'!L12)</f>
        <v>244.96666666666667</v>
      </c>
      <c r="J11" s="51">
        <f t="shared" si="0"/>
        <v>4.2163102558598098</v>
      </c>
    </row>
    <row r="12" spans="1:10" ht="20.100000000000001" customHeight="1" x14ac:dyDescent="0.2">
      <c r="A12" s="116" t="s">
        <v>54</v>
      </c>
      <c r="B12" s="197" t="s">
        <v>87</v>
      </c>
      <c r="C12" s="129">
        <f>'Caudais Vol., Massic., Temp.'!E3+'Caudais Vol., Massic., Temp.'!E4+'Caudais Vol., Massic., Temp.'!E5+'Caudais Vol., Massic., Temp.'!E6+'Caudais Vol., Massic., Temp.'!E7+'Caudais Vol., Massic., Temp.'!E10+'Caudais Vol., Massic., Temp.'!E11+'Caudais Vol., Massic., Temp.'!E12</f>
        <v>1.6051299999999999</v>
      </c>
      <c r="D12" s="129">
        <f>'Caudais Vol., Massic., Temp.'!F3+'Caudais Vol., Massic., Temp.'!F4+'Caudais Vol., Massic., Temp.'!F5+'Caudais Vol., Massic., Temp.'!F6+'Caudais Vol., Massic., Temp.'!F7+'Caudais Vol., Massic., Temp.'!F10+'Caudais Vol., Massic., Temp.'!F11+'Caudais Vol., Massic., Temp.'!F12</f>
        <v>3.257285</v>
      </c>
      <c r="E12" s="129">
        <f>'Caudais Vol., Massic., Temp.'!G3+'Caudais Vol., Massic., Temp.'!G4+'Caudais Vol., Massic., Temp.'!G5+'Caudais Vol., Massic., Temp.'!G6+'Caudais Vol., Massic., Temp.'!G7+'Caudais Vol., Massic., Temp.'!G10+'Caudais Vol., Massic., Temp.'!G11+'Caudais Vol., Massic., Temp.'!G12</f>
        <v>4.3184499999999995</v>
      </c>
      <c r="F12" s="129"/>
      <c r="G12" s="148">
        <f>('Cálculo de S e Hp'!B12*'Hp(Dependência de Chaminés)'!C12)/'Cálculo de S e Hp'!J12</f>
        <v>10914.884</v>
      </c>
      <c r="H12" s="132">
        <f>'Caudais Vol., Massic., Temp.'!I3+'Caudais Vol., Massic., Temp.'!I4+'Caudais Vol., Massic., Temp.'!I5+'Caudais Vol., Massic., Temp.'!I6+'Caudais Vol., Massic., Temp.'!I7+'Caudais Vol., Massic., Temp.'!I10+'Caudais Vol., Massic., Temp.'!I11+'Caudais Vol., Massic., Temp.'!I12</f>
        <v>43824</v>
      </c>
      <c r="I12" s="129">
        <f>AVERAGE('Caudais Vol., Massic., Temp.'!L3,'Caudais Vol., Massic., Temp.'!L4,'Caudais Vol., Massic., Temp.'!L5,'Caudais Vol., Massic., Temp.'!L6,'Caudais Vol., Massic., Temp.'!L7,'Caudais Vol., Massic., Temp.'!L10,'Caudais Vol., Massic., Temp.'!L11,'Caudais Vol., Massic., Temp.'!L12)</f>
        <v>329.05</v>
      </c>
      <c r="J12" s="149">
        <f t="shared" ref="J12:J14" si="1">(SQRT(G12)*(1/(H12*I12))^(1/6))</f>
        <v>6.6964902974228462</v>
      </c>
    </row>
    <row r="13" spans="1:10" ht="20.100000000000001" customHeight="1" x14ac:dyDescent="0.2">
      <c r="A13" s="116" t="s">
        <v>99</v>
      </c>
      <c r="B13" s="197" t="s">
        <v>97</v>
      </c>
      <c r="C13" s="129">
        <f>'Caudais Vol., Massic., Temp.'!E3+'Caudais Vol., Massic., Temp.'!E4+'Caudais Vol., Massic., Temp.'!E8+'Caudais Vol., Massic., Temp.'!E9+'Caudais Vol., Massic., Temp.'!E13+'Caudais Vol., Massic., Temp.'!E14</f>
        <v>0.21830000000000002</v>
      </c>
      <c r="D13" s="129">
        <f>'Caudais Vol., Massic., Temp.'!F3+'Caudais Vol., Massic., Temp.'!F4+'Caudais Vol., Massic., Temp.'!F8+'Caudais Vol., Massic., Temp.'!F9+'Caudais Vol., Massic., Temp.'!F13+'Caudais Vol., Massic., Temp.'!F14</f>
        <v>0.11699999999999999</v>
      </c>
      <c r="E13" s="129">
        <f>'Caudais Vol., Massic., Temp.'!G3+'Caudais Vol., Massic., Temp.'!G4+'Caudais Vol., Massic., Temp.'!G8+'Caudais Vol., Massic., Temp.'!G9+'Caudais Vol., Massic., Temp.'!G13+'Caudais Vol., Massic., Temp.'!G14</f>
        <v>0.39</v>
      </c>
      <c r="F13" s="129"/>
      <c r="G13" s="148">
        <f>('Cálculo de S e Hp'!B13*'Hp(Dependência de Chaminés)'!C13)/'Cálculo de S e Hp'!J13</f>
        <v>1484.4400000000003</v>
      </c>
      <c r="H13" s="132">
        <f>'Caudais Vol., Massic., Temp.'!I3+'Caudais Vol., Massic., Temp.'!I4+'Caudais Vol., Massic., Temp.'!I8+'Caudais Vol., Massic., Temp.'!I9+'Caudais Vol., Massic., Temp.'!I13+'Caudais Vol., Massic., Temp.'!I14</f>
        <v>20260</v>
      </c>
      <c r="I13" s="117">
        <f>AVERAGE('Caudais Vol., Massic., Temp.'!L3,'Caudais Vol., Massic., Temp.'!L4,'Caudais Vol., Massic., Temp.'!L8,'Caudais Vol., Massic., Temp.'!L9,'Caudais Vol., Massic., Temp.'!L13,'Caudais Vol., Massic., Temp.'!L14)</f>
        <v>128.29999999999998</v>
      </c>
      <c r="J13" s="149">
        <f t="shared" si="0"/>
        <v>3.2857685971291466</v>
      </c>
    </row>
    <row r="14" spans="1:10" ht="20.100000000000001" customHeight="1" thickBot="1" x14ac:dyDescent="0.25">
      <c r="A14" s="119" t="s">
        <v>100</v>
      </c>
      <c r="B14" s="198" t="s">
        <v>98</v>
      </c>
      <c r="C14" s="162">
        <f>'Caudais Vol., Massic., Temp.'!E4+'Caudais Vol., Massic., Temp.'!E8+'Caudais Vol., Massic., Temp.'!E9+'Caudais Vol., Massic., Temp.'!E13+'Caudais Vol., Massic., Temp.'!E14</f>
        <v>0.16629999999999998</v>
      </c>
      <c r="D14" s="162">
        <f>'Caudais Vol., Massic., Temp.'!F4+'Caudais Vol., Massic., Temp.'!F8+'Caudais Vol., Massic., Temp.'!F9+'Caudais Vol., Massic., Temp.'!F13+'Caudais Vol., Massic., Temp.'!F14</f>
        <v>7.8E-2</v>
      </c>
      <c r="E14" s="162">
        <f>'Caudais Vol., Massic., Temp.'!G4+'Caudais Vol., Massic., Temp.'!G8+'Caudais Vol., Massic., Temp.'!G9+'Caudais Vol., Massic., Temp.'!G13+'Caudais Vol., Massic., Temp.'!G14</f>
        <v>0.26</v>
      </c>
      <c r="F14" s="162"/>
      <c r="G14" s="166">
        <f>('Cálculo de S e Hp'!B14*'Hp(Dependência de Chaminés)'!C14)/'Cálculo de S e Hp'!J14</f>
        <v>1130.8399999999999</v>
      </c>
      <c r="H14" s="139">
        <f>'Caudais Vol., Massic., Temp.'!I4+'Caudais Vol., Massic., Temp.'!I8+'Caudais Vol., Massic., Temp.'!I9+'Caudais Vol., Massic., Temp.'!I13+'Caudais Vol., Massic., Temp.'!I14</f>
        <v>17660</v>
      </c>
      <c r="I14" s="121">
        <f>AVERAGE('Caudais Vol., Massic., Temp.'!L4,'Caudais Vol., Massic., Temp.'!L8,'Caudais Vol., Massic., Temp.'!L9,'Caudais Vol., Massic., Temp.'!L13,'Caudais Vol., Massic., Temp.'!L14)</f>
        <v>96.97999999999999</v>
      </c>
      <c r="J14" s="150">
        <f t="shared" si="1"/>
        <v>3.0743626912021624</v>
      </c>
    </row>
    <row r="15" spans="1:10" ht="20.100000000000001" customHeight="1" x14ac:dyDescent="0.2">
      <c r="B15" s="188" t="s">
        <v>19</v>
      </c>
      <c r="C15" s="189"/>
      <c r="D15" s="189"/>
      <c r="E15" s="189"/>
      <c r="F15" s="165" t="s">
        <v>84</v>
      </c>
      <c r="G15" s="9"/>
    </row>
    <row r="16" spans="1:10" ht="20.100000000000001" customHeight="1" x14ac:dyDescent="0.2">
      <c r="B16" s="3"/>
      <c r="C16" s="3"/>
      <c r="D16" s="3"/>
      <c r="E16" s="3"/>
      <c r="F16" s="16" t="s">
        <v>85</v>
      </c>
      <c r="G16" s="9"/>
    </row>
    <row r="17" spans="1:7" ht="20.100000000000001" customHeight="1" x14ac:dyDescent="0.2">
      <c r="B17" s="167"/>
      <c r="C17" s="167"/>
      <c r="D17" s="3"/>
      <c r="E17" s="3"/>
      <c r="F17" s="16" t="s">
        <v>86</v>
      </c>
      <c r="G17" s="9"/>
    </row>
    <row r="18" spans="1:7" ht="20.100000000000001" customHeight="1" x14ac:dyDescent="0.2">
      <c r="B18" s="167"/>
      <c r="C18" s="167"/>
    </row>
    <row r="19" spans="1:7" ht="20.100000000000001" customHeight="1" x14ac:dyDescent="0.2">
      <c r="A19" s="40"/>
      <c r="B19" s="167"/>
      <c r="C19" s="167"/>
    </row>
    <row r="20" spans="1:7" x14ac:dyDescent="0.2">
      <c r="A20" s="42"/>
      <c r="B20" s="167"/>
      <c r="C20" s="167"/>
    </row>
    <row r="21" spans="1:7" x14ac:dyDescent="0.2">
      <c r="A21" s="40"/>
      <c r="B21" s="167"/>
      <c r="C21" s="167"/>
    </row>
    <row r="22" spans="1:7" x14ac:dyDescent="0.2">
      <c r="A22" s="40"/>
      <c r="B22" s="167"/>
      <c r="C22" s="167"/>
    </row>
    <row r="23" spans="1:7" x14ac:dyDescent="0.2">
      <c r="A23" s="40"/>
      <c r="B23" s="167"/>
      <c r="C23" s="167"/>
    </row>
    <row r="24" spans="1:7" x14ac:dyDescent="0.2">
      <c r="A24" s="40"/>
      <c r="B24" s="167"/>
      <c r="C24" s="167"/>
    </row>
    <row r="25" spans="1:7" x14ac:dyDescent="0.2">
      <c r="A25" s="42"/>
      <c r="B25" s="167"/>
      <c r="C25" s="167"/>
    </row>
    <row r="26" spans="1:7" x14ac:dyDescent="0.2">
      <c r="A26" s="82"/>
      <c r="B26" s="167"/>
      <c r="C26" s="167"/>
    </row>
    <row r="27" spans="1:7" x14ac:dyDescent="0.2">
      <c r="A27" s="88"/>
    </row>
  </sheetData>
  <mergeCells count="21">
    <mergeCell ref="J1:J2"/>
    <mergeCell ref="C1:C2"/>
    <mergeCell ref="B1:B2"/>
    <mergeCell ref="B15:E15"/>
    <mergeCell ref="A1:A2"/>
    <mergeCell ref="H1:H2"/>
    <mergeCell ref="I1:I2"/>
    <mergeCell ref="F1:F2"/>
    <mergeCell ref="E1:E2"/>
    <mergeCell ref="D1:D2"/>
    <mergeCell ref="G1:G2"/>
    <mergeCell ref="B17:C17"/>
    <mergeCell ref="B18:C18"/>
    <mergeCell ref="B19:C19"/>
    <mergeCell ref="B20:C20"/>
    <mergeCell ref="B21:C21"/>
    <mergeCell ref="B22:C22"/>
    <mergeCell ref="B23:C23"/>
    <mergeCell ref="B24:C24"/>
    <mergeCell ref="B25:C25"/>
    <mergeCell ref="B26:C26"/>
  </mergeCells>
  <phoneticPr fontId="0" type="noConversion"/>
  <pageMargins left="0.75" right="0.75" top="0.49" bottom="0.24" header="0" footer="0"/>
  <pageSetup paperSize="9" orientation="landscape" r:id="rId1"/>
  <headerFooter alignWithMargins="0">
    <oddHeader>&amp;C&amp;"Tahoma,Normal"&amp;11Dependência entre as Chaminés</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5"/>
  <sheetViews>
    <sheetView zoomScale="85" zoomScaleNormal="85" workbookViewId="0">
      <selection activeCell="I1" sqref="I1"/>
    </sheetView>
  </sheetViews>
  <sheetFormatPr defaultRowHeight="11.25" x14ac:dyDescent="0.2"/>
  <cols>
    <col min="1" max="1" width="12.7109375" style="49" customWidth="1"/>
    <col min="2" max="2" width="16.7109375" style="48" customWidth="1"/>
    <col min="3" max="4" width="18.7109375" style="49" customWidth="1"/>
    <col min="5" max="5" width="16.7109375" style="50" customWidth="1"/>
    <col min="6" max="6" width="18.7109375" style="50" customWidth="1"/>
    <col min="7" max="7" width="12.7109375" style="49" customWidth="1"/>
    <col min="8" max="8" width="20.7109375" style="50" customWidth="1"/>
    <col min="9" max="16384" width="9.140625" style="50"/>
  </cols>
  <sheetData>
    <row r="1" spans="1:8" s="30" customFormat="1" ht="20.100000000000001" customHeight="1" thickBot="1" x14ac:dyDescent="0.25">
      <c r="A1" s="192" t="s">
        <v>2</v>
      </c>
      <c r="B1" s="192"/>
      <c r="C1" s="192"/>
      <c r="D1" s="192"/>
      <c r="E1" s="192"/>
      <c r="F1" s="192"/>
      <c r="G1" s="192"/>
      <c r="H1" s="192"/>
    </row>
    <row r="2" spans="1:8" s="65" customFormat="1" ht="26.1" customHeight="1" thickBot="1" x14ac:dyDescent="0.25">
      <c r="A2" s="63" t="s">
        <v>28</v>
      </c>
      <c r="B2" s="64" t="s">
        <v>22</v>
      </c>
      <c r="C2" s="63" t="s">
        <v>23</v>
      </c>
      <c r="D2" s="63" t="s">
        <v>29</v>
      </c>
      <c r="E2" s="63" t="s">
        <v>30</v>
      </c>
      <c r="F2" s="63" t="s">
        <v>31</v>
      </c>
      <c r="G2" s="63" t="s">
        <v>32</v>
      </c>
      <c r="H2" s="63" t="s">
        <v>33</v>
      </c>
    </row>
    <row r="3" spans="1:8" ht="12" customHeight="1" x14ac:dyDescent="0.2">
      <c r="A3" s="1">
        <v>1</v>
      </c>
      <c r="B3" s="66">
        <v>228.9</v>
      </c>
      <c r="C3" s="67">
        <v>28</v>
      </c>
      <c r="D3" s="67" t="str">
        <f>IF(B3 &lt; 300,"sim","nao")</f>
        <v>sim</v>
      </c>
      <c r="E3" s="2">
        <f t="shared" ref="E3:E59" si="0">B3/5</f>
        <v>45.78</v>
      </c>
      <c r="F3" s="68">
        <f t="shared" ref="F3:F29" si="1">1+(14*B3)/300</f>
        <v>11.682</v>
      </c>
      <c r="G3" s="69">
        <v>5</v>
      </c>
      <c r="H3" s="2" t="str">
        <f>IF(AND(G3&gt;=E3,C3&gt;=F3),"sim","não")</f>
        <v>não</v>
      </c>
    </row>
    <row r="4" spans="1:8" ht="12" customHeight="1" x14ac:dyDescent="0.2">
      <c r="A4" s="70">
        <v>2</v>
      </c>
      <c r="B4" s="66">
        <v>226.6</v>
      </c>
      <c r="C4" s="67">
        <v>41</v>
      </c>
      <c r="D4" s="67" t="str">
        <f t="shared" ref="D4:D29" si="2">IF(B4 &lt; 300,"sim","nao")</f>
        <v>sim</v>
      </c>
      <c r="E4" s="2">
        <f t="shared" si="0"/>
        <v>45.32</v>
      </c>
      <c r="F4" s="68">
        <f t="shared" si="1"/>
        <v>11.574666666666667</v>
      </c>
      <c r="G4" s="69">
        <v>7</v>
      </c>
      <c r="H4" s="2" t="str">
        <f t="shared" ref="H4:H59" si="3">IF(AND(G4&gt;=E4,C4&gt;=F4),"sim","não")</f>
        <v>não</v>
      </c>
    </row>
    <row r="5" spans="1:8" ht="12" customHeight="1" x14ac:dyDescent="0.2">
      <c r="A5" s="70">
        <v>3</v>
      </c>
      <c r="B5" s="66">
        <v>230.7</v>
      </c>
      <c r="C5" s="67">
        <v>47</v>
      </c>
      <c r="D5" s="67" t="str">
        <f t="shared" si="2"/>
        <v>sim</v>
      </c>
      <c r="E5" s="2">
        <f t="shared" si="0"/>
        <v>46.14</v>
      </c>
      <c r="F5" s="68">
        <f t="shared" si="1"/>
        <v>11.765999999999998</v>
      </c>
      <c r="G5" s="69">
        <v>7</v>
      </c>
      <c r="H5" s="2" t="str">
        <f t="shared" si="3"/>
        <v>não</v>
      </c>
    </row>
    <row r="6" spans="1:8" ht="12" customHeight="1" x14ac:dyDescent="0.2">
      <c r="A6" s="70">
        <v>4</v>
      </c>
      <c r="B6" s="66">
        <v>248.4</v>
      </c>
      <c r="C6" s="67">
        <v>35</v>
      </c>
      <c r="D6" s="67" t="str">
        <f t="shared" si="2"/>
        <v>sim</v>
      </c>
      <c r="E6" s="2">
        <f t="shared" si="0"/>
        <v>49.68</v>
      </c>
      <c r="F6" s="68">
        <f t="shared" si="1"/>
        <v>12.592000000000001</v>
      </c>
      <c r="G6" s="48">
        <v>7</v>
      </c>
      <c r="H6" s="2" t="str">
        <f t="shared" si="3"/>
        <v>não</v>
      </c>
    </row>
    <row r="7" spans="1:8" ht="12" customHeight="1" x14ac:dyDescent="0.2">
      <c r="A7" s="70">
        <v>5</v>
      </c>
      <c r="B7" s="66">
        <v>153</v>
      </c>
      <c r="C7" s="67">
        <v>14</v>
      </c>
      <c r="D7" s="67" t="str">
        <f t="shared" si="2"/>
        <v>sim</v>
      </c>
      <c r="E7" s="2">
        <f t="shared" si="0"/>
        <v>30.6</v>
      </c>
      <c r="F7" s="68">
        <f t="shared" si="1"/>
        <v>8.14</v>
      </c>
      <c r="G7" s="48">
        <v>5</v>
      </c>
      <c r="H7" s="2" t="str">
        <f t="shared" si="3"/>
        <v>não</v>
      </c>
    </row>
    <row r="8" spans="1:8" ht="12" customHeight="1" x14ac:dyDescent="0.2">
      <c r="A8" s="70">
        <v>6</v>
      </c>
      <c r="B8" s="66">
        <v>297.7</v>
      </c>
      <c r="C8" s="67">
        <v>133</v>
      </c>
      <c r="D8" s="67" t="str">
        <f t="shared" si="2"/>
        <v>sim</v>
      </c>
      <c r="E8" s="2">
        <f t="shared" si="0"/>
        <v>59.54</v>
      </c>
      <c r="F8" s="68">
        <f t="shared" si="1"/>
        <v>14.892666666666667</v>
      </c>
      <c r="G8" s="48">
        <v>10</v>
      </c>
      <c r="H8" s="2" t="str">
        <f t="shared" si="3"/>
        <v>não</v>
      </c>
    </row>
    <row r="9" spans="1:8" ht="12" customHeight="1" x14ac:dyDescent="0.2">
      <c r="A9" s="70">
        <v>7</v>
      </c>
      <c r="B9" s="66">
        <v>197.1</v>
      </c>
      <c r="C9" s="67">
        <v>78</v>
      </c>
      <c r="D9" s="67" t="str">
        <f t="shared" si="2"/>
        <v>sim</v>
      </c>
      <c r="E9" s="2">
        <f t="shared" si="0"/>
        <v>39.42</v>
      </c>
      <c r="F9" s="68">
        <f t="shared" si="1"/>
        <v>10.198</v>
      </c>
      <c r="G9" s="48">
        <v>7</v>
      </c>
      <c r="H9" s="2" t="str">
        <f t="shared" si="3"/>
        <v>não</v>
      </c>
    </row>
    <row r="10" spans="1:8" ht="12" customHeight="1" x14ac:dyDescent="0.2">
      <c r="A10" s="70">
        <v>8</v>
      </c>
      <c r="B10" s="66">
        <v>107.1</v>
      </c>
      <c r="C10" s="67">
        <v>81</v>
      </c>
      <c r="D10" s="67" t="str">
        <f t="shared" si="2"/>
        <v>sim</v>
      </c>
      <c r="E10" s="2">
        <f t="shared" si="0"/>
        <v>21.419999999999998</v>
      </c>
      <c r="F10" s="68">
        <f t="shared" si="1"/>
        <v>5.9979999999999993</v>
      </c>
      <c r="G10" s="48">
        <v>10</v>
      </c>
      <c r="H10" s="2" t="str">
        <f t="shared" si="3"/>
        <v>não</v>
      </c>
    </row>
    <row r="11" spans="1:8" ht="12" customHeight="1" x14ac:dyDescent="0.2">
      <c r="A11" s="70">
        <v>9</v>
      </c>
      <c r="B11" s="66">
        <v>228.6</v>
      </c>
      <c r="C11" s="67">
        <v>13</v>
      </c>
      <c r="D11" s="67" t="str">
        <f t="shared" si="2"/>
        <v>sim</v>
      </c>
      <c r="E11" s="2">
        <f t="shared" si="0"/>
        <v>45.72</v>
      </c>
      <c r="F11" s="68">
        <f t="shared" si="1"/>
        <v>11.668000000000001</v>
      </c>
      <c r="G11" s="48">
        <v>3</v>
      </c>
      <c r="H11" s="2" t="str">
        <f t="shared" si="3"/>
        <v>não</v>
      </c>
    </row>
    <row r="12" spans="1:8" ht="12" customHeight="1" x14ac:dyDescent="0.2">
      <c r="A12" s="70">
        <v>10</v>
      </c>
      <c r="B12" s="66">
        <v>84.3</v>
      </c>
      <c r="C12" s="67">
        <v>133</v>
      </c>
      <c r="D12" s="67" t="str">
        <f t="shared" si="2"/>
        <v>sim</v>
      </c>
      <c r="E12" s="2">
        <f t="shared" si="0"/>
        <v>16.86</v>
      </c>
      <c r="F12" s="68">
        <f t="shared" si="1"/>
        <v>4.9340000000000002</v>
      </c>
      <c r="G12" s="48">
        <v>10</v>
      </c>
      <c r="H12" s="2" t="str">
        <f t="shared" si="3"/>
        <v>não</v>
      </c>
    </row>
    <row r="13" spans="1:8" ht="12" customHeight="1" x14ac:dyDescent="0.2">
      <c r="A13" s="70">
        <v>11</v>
      </c>
      <c r="B13" s="66">
        <v>169.8</v>
      </c>
      <c r="C13" s="67">
        <v>210</v>
      </c>
      <c r="D13" s="67" t="str">
        <f t="shared" si="2"/>
        <v>sim</v>
      </c>
      <c r="E13" s="2">
        <f t="shared" si="0"/>
        <v>33.96</v>
      </c>
      <c r="F13" s="68">
        <f t="shared" si="1"/>
        <v>8.9240000000000013</v>
      </c>
      <c r="G13" s="48">
        <v>10</v>
      </c>
      <c r="H13" s="2" t="str">
        <f t="shared" si="3"/>
        <v>não</v>
      </c>
    </row>
    <row r="14" spans="1:8" ht="12" customHeight="1" x14ac:dyDescent="0.2">
      <c r="A14" s="70">
        <v>12</v>
      </c>
      <c r="B14" s="66">
        <v>169.8</v>
      </c>
      <c r="C14" s="67">
        <v>27</v>
      </c>
      <c r="D14" s="67" t="str">
        <f t="shared" si="2"/>
        <v>sim</v>
      </c>
      <c r="E14" s="2">
        <f t="shared" si="0"/>
        <v>33.96</v>
      </c>
      <c r="F14" s="68">
        <f t="shared" si="1"/>
        <v>8.9240000000000013</v>
      </c>
      <c r="G14" s="48">
        <v>3</v>
      </c>
      <c r="H14" s="2" t="str">
        <f t="shared" si="3"/>
        <v>não</v>
      </c>
    </row>
    <row r="15" spans="1:8" ht="12" customHeight="1" x14ac:dyDescent="0.2">
      <c r="A15" s="70">
        <v>13</v>
      </c>
      <c r="B15" s="66">
        <v>258.2</v>
      </c>
      <c r="C15" s="67">
        <v>132</v>
      </c>
      <c r="D15" s="67" t="str">
        <f t="shared" si="2"/>
        <v>sim</v>
      </c>
      <c r="E15" s="2">
        <f t="shared" si="0"/>
        <v>51.64</v>
      </c>
      <c r="F15" s="68">
        <f t="shared" si="1"/>
        <v>13.049333333333333</v>
      </c>
      <c r="G15" s="48">
        <v>7</v>
      </c>
      <c r="H15" s="2" t="str">
        <f t="shared" si="3"/>
        <v>não</v>
      </c>
    </row>
    <row r="16" spans="1:8" ht="12" customHeight="1" x14ac:dyDescent="0.2">
      <c r="A16" s="70">
        <v>14</v>
      </c>
      <c r="B16" s="66">
        <v>225.4</v>
      </c>
      <c r="C16" s="67">
        <v>66</v>
      </c>
      <c r="D16" s="67" t="str">
        <f t="shared" si="2"/>
        <v>sim</v>
      </c>
      <c r="E16" s="2">
        <f t="shared" si="0"/>
        <v>45.08</v>
      </c>
      <c r="F16" s="68">
        <f t="shared" si="1"/>
        <v>11.518666666666666</v>
      </c>
      <c r="G16" s="48">
        <v>10</v>
      </c>
      <c r="H16" s="2" t="str">
        <f t="shared" si="3"/>
        <v>não</v>
      </c>
    </row>
    <row r="17" spans="1:8" ht="12" customHeight="1" x14ac:dyDescent="0.2">
      <c r="A17" s="70">
        <v>15</v>
      </c>
      <c r="B17" s="66">
        <v>209.4</v>
      </c>
      <c r="C17" s="67">
        <v>7</v>
      </c>
      <c r="D17" s="67" t="str">
        <f t="shared" si="2"/>
        <v>sim</v>
      </c>
      <c r="E17" s="2">
        <f t="shared" si="0"/>
        <v>41.88</v>
      </c>
      <c r="F17" s="68">
        <f t="shared" si="1"/>
        <v>10.772</v>
      </c>
      <c r="G17" s="48">
        <v>3</v>
      </c>
      <c r="H17" s="2" t="str">
        <f t="shared" si="3"/>
        <v>não</v>
      </c>
    </row>
    <row r="18" spans="1:8" ht="12" customHeight="1" x14ac:dyDescent="0.2">
      <c r="A18" s="70">
        <v>16</v>
      </c>
      <c r="B18" s="66">
        <v>272.10000000000002</v>
      </c>
      <c r="C18" s="67">
        <v>121</v>
      </c>
      <c r="D18" s="67" t="str">
        <f t="shared" si="2"/>
        <v>sim</v>
      </c>
      <c r="E18" s="2">
        <f t="shared" si="0"/>
        <v>54.42</v>
      </c>
      <c r="F18" s="68">
        <f t="shared" si="1"/>
        <v>13.698000000000002</v>
      </c>
      <c r="G18" s="48">
        <v>10</v>
      </c>
      <c r="H18" s="2" t="str">
        <f t="shared" si="3"/>
        <v>não</v>
      </c>
    </row>
    <row r="19" spans="1:8" ht="12" customHeight="1" x14ac:dyDescent="0.2">
      <c r="A19" s="70">
        <v>17</v>
      </c>
      <c r="B19" s="66">
        <v>248.8</v>
      </c>
      <c r="C19" s="67">
        <v>20</v>
      </c>
      <c r="D19" s="67" t="str">
        <f t="shared" si="2"/>
        <v>sim</v>
      </c>
      <c r="E19" s="2">
        <f t="shared" si="0"/>
        <v>49.760000000000005</v>
      </c>
      <c r="F19" s="68">
        <f t="shared" si="1"/>
        <v>12.610666666666667</v>
      </c>
      <c r="G19" s="48">
        <v>7</v>
      </c>
      <c r="H19" s="2" t="str">
        <f t="shared" si="3"/>
        <v>não</v>
      </c>
    </row>
    <row r="20" spans="1:8" ht="12" customHeight="1" x14ac:dyDescent="0.2">
      <c r="A20" s="70">
        <v>18</v>
      </c>
      <c r="B20" s="66">
        <v>247</v>
      </c>
      <c r="C20" s="67">
        <v>20</v>
      </c>
      <c r="D20" s="67" t="str">
        <f t="shared" si="2"/>
        <v>sim</v>
      </c>
      <c r="E20" s="2">
        <f t="shared" si="0"/>
        <v>49.4</v>
      </c>
      <c r="F20" s="68">
        <f t="shared" si="1"/>
        <v>12.526666666666667</v>
      </c>
      <c r="G20" s="48">
        <v>7</v>
      </c>
      <c r="H20" s="2" t="str">
        <f t="shared" si="3"/>
        <v>não</v>
      </c>
    </row>
    <row r="21" spans="1:8" ht="12" customHeight="1" x14ac:dyDescent="0.2">
      <c r="A21" s="70">
        <v>19</v>
      </c>
      <c r="B21" s="66">
        <v>256.8</v>
      </c>
      <c r="C21" s="67">
        <v>20</v>
      </c>
      <c r="D21" s="67" t="str">
        <f t="shared" si="2"/>
        <v>sim</v>
      </c>
      <c r="E21" s="2">
        <f t="shared" si="0"/>
        <v>51.36</v>
      </c>
      <c r="F21" s="68">
        <f t="shared" si="1"/>
        <v>12.984000000000002</v>
      </c>
      <c r="G21" s="48">
        <v>7</v>
      </c>
      <c r="H21" s="2" t="str">
        <f t="shared" si="3"/>
        <v>não</v>
      </c>
    </row>
    <row r="22" spans="1:8" ht="12" customHeight="1" x14ac:dyDescent="0.2">
      <c r="A22" s="70">
        <v>20</v>
      </c>
      <c r="B22" s="66">
        <v>251.6</v>
      </c>
      <c r="C22" s="67">
        <v>20</v>
      </c>
      <c r="D22" s="67" t="str">
        <f t="shared" si="2"/>
        <v>sim</v>
      </c>
      <c r="E22" s="2">
        <f t="shared" si="0"/>
        <v>50.32</v>
      </c>
      <c r="F22" s="68">
        <f t="shared" si="1"/>
        <v>12.741333333333333</v>
      </c>
      <c r="G22" s="48">
        <v>7</v>
      </c>
      <c r="H22" s="2" t="str">
        <f t="shared" si="3"/>
        <v>não</v>
      </c>
    </row>
    <row r="23" spans="1:8" ht="12" customHeight="1" x14ac:dyDescent="0.2">
      <c r="A23" s="70">
        <v>21</v>
      </c>
      <c r="B23" s="66">
        <v>231.6</v>
      </c>
      <c r="C23" s="67">
        <v>20</v>
      </c>
      <c r="D23" s="67" t="str">
        <f t="shared" si="2"/>
        <v>sim</v>
      </c>
      <c r="E23" s="2">
        <f t="shared" si="0"/>
        <v>46.32</v>
      </c>
      <c r="F23" s="68">
        <f t="shared" si="1"/>
        <v>11.808</v>
      </c>
      <c r="G23" s="48">
        <v>7</v>
      </c>
      <c r="H23" s="2" t="str">
        <f t="shared" si="3"/>
        <v>não</v>
      </c>
    </row>
    <row r="24" spans="1:8" ht="12" customHeight="1" x14ac:dyDescent="0.2">
      <c r="A24" s="70">
        <v>22</v>
      </c>
      <c r="B24" s="66">
        <v>239.7</v>
      </c>
      <c r="C24" s="67">
        <v>20</v>
      </c>
      <c r="D24" s="67" t="str">
        <f t="shared" si="2"/>
        <v>sim</v>
      </c>
      <c r="E24" s="2">
        <f t="shared" si="0"/>
        <v>47.94</v>
      </c>
      <c r="F24" s="68">
        <f t="shared" si="1"/>
        <v>12.186</v>
      </c>
      <c r="G24" s="48">
        <v>7</v>
      </c>
      <c r="H24" s="2" t="str">
        <f t="shared" si="3"/>
        <v>não</v>
      </c>
    </row>
    <row r="25" spans="1:8" ht="12" customHeight="1" x14ac:dyDescent="0.2">
      <c r="A25" s="70">
        <v>23</v>
      </c>
      <c r="B25" s="66">
        <v>235.6</v>
      </c>
      <c r="C25" s="67">
        <v>20</v>
      </c>
      <c r="D25" s="67" t="str">
        <f t="shared" si="2"/>
        <v>sim</v>
      </c>
      <c r="E25" s="2">
        <f t="shared" si="0"/>
        <v>47.12</v>
      </c>
      <c r="F25" s="68">
        <f t="shared" si="1"/>
        <v>11.994666666666667</v>
      </c>
      <c r="G25" s="48">
        <v>7</v>
      </c>
      <c r="H25" s="2" t="str">
        <f t="shared" si="3"/>
        <v>não</v>
      </c>
    </row>
    <row r="26" spans="1:8" ht="12" customHeight="1" x14ac:dyDescent="0.2">
      <c r="A26" s="70">
        <v>24</v>
      </c>
      <c r="B26" s="66">
        <v>243.8</v>
      </c>
      <c r="C26" s="67">
        <v>20</v>
      </c>
      <c r="D26" s="67" t="str">
        <f t="shared" si="2"/>
        <v>sim</v>
      </c>
      <c r="E26" s="2">
        <f t="shared" si="0"/>
        <v>48.760000000000005</v>
      </c>
      <c r="F26" s="68">
        <f t="shared" si="1"/>
        <v>12.377333333333334</v>
      </c>
      <c r="G26" s="48">
        <v>7</v>
      </c>
      <c r="H26" s="2" t="str">
        <f t="shared" si="3"/>
        <v>não</v>
      </c>
    </row>
    <row r="27" spans="1:8" ht="12" customHeight="1" x14ac:dyDescent="0.2">
      <c r="A27" s="70">
        <v>25</v>
      </c>
      <c r="B27" s="66">
        <v>232.6</v>
      </c>
      <c r="C27" s="67">
        <v>73</v>
      </c>
      <c r="D27" s="67" t="str">
        <f t="shared" si="2"/>
        <v>sim</v>
      </c>
      <c r="E27" s="2">
        <f t="shared" si="0"/>
        <v>46.519999999999996</v>
      </c>
      <c r="F27" s="68">
        <f t="shared" si="1"/>
        <v>11.854666666666667</v>
      </c>
      <c r="G27" s="48">
        <v>7</v>
      </c>
      <c r="H27" s="2" t="str">
        <f t="shared" si="3"/>
        <v>não</v>
      </c>
    </row>
    <row r="28" spans="1:8" ht="12" customHeight="1" x14ac:dyDescent="0.2">
      <c r="A28" s="70">
        <v>26</v>
      </c>
      <c r="B28" s="66">
        <v>231.8</v>
      </c>
      <c r="C28" s="67">
        <v>75</v>
      </c>
      <c r="D28" s="67" t="str">
        <f t="shared" si="2"/>
        <v>sim</v>
      </c>
      <c r="E28" s="2">
        <f t="shared" si="0"/>
        <v>46.36</v>
      </c>
      <c r="F28" s="68">
        <f t="shared" si="1"/>
        <v>11.817333333333334</v>
      </c>
      <c r="G28" s="48">
        <v>7</v>
      </c>
      <c r="H28" s="2" t="str">
        <f t="shared" si="3"/>
        <v>não</v>
      </c>
    </row>
    <row r="29" spans="1:8" ht="30" customHeight="1" x14ac:dyDescent="0.2">
      <c r="A29" s="71" t="s">
        <v>39</v>
      </c>
      <c r="B29" s="66">
        <v>1.46</v>
      </c>
      <c r="C29" s="67">
        <f>90.24+15.06</f>
        <v>105.3</v>
      </c>
      <c r="D29" s="67" t="str">
        <f t="shared" si="2"/>
        <v>sim</v>
      </c>
      <c r="E29" s="2">
        <f t="shared" si="0"/>
        <v>0.29199999999999998</v>
      </c>
      <c r="F29" s="68">
        <f t="shared" si="1"/>
        <v>1.0681333333333334</v>
      </c>
      <c r="G29" s="48">
        <v>13.17</v>
      </c>
      <c r="H29" s="81" t="str">
        <f t="shared" si="3"/>
        <v>sim</v>
      </c>
    </row>
    <row r="30" spans="1:8" s="75" customFormat="1" ht="9.9499999999999993" customHeight="1" x14ac:dyDescent="0.2">
      <c r="A30" s="72"/>
      <c r="B30" s="69"/>
      <c r="C30" s="2"/>
      <c r="D30" s="2"/>
      <c r="E30" s="2"/>
      <c r="F30" s="73"/>
      <c r="G30" s="74"/>
      <c r="H30" s="2"/>
    </row>
    <row r="31" spans="1:8" ht="20.100000000000001" customHeight="1" thickBot="1" x14ac:dyDescent="0.25">
      <c r="A31" s="193" t="s">
        <v>3</v>
      </c>
      <c r="B31" s="193"/>
      <c r="C31" s="193"/>
      <c r="D31" s="193"/>
      <c r="E31" s="193"/>
      <c r="F31" s="193"/>
      <c r="G31" s="193"/>
      <c r="H31" s="193"/>
    </row>
    <row r="32" spans="1:8" s="65" customFormat="1" ht="26.1" customHeight="1" thickBot="1" x14ac:dyDescent="0.25">
      <c r="A32" s="63" t="s">
        <v>28</v>
      </c>
      <c r="B32" s="64" t="s">
        <v>22</v>
      </c>
      <c r="C32" s="63" t="s">
        <v>23</v>
      </c>
      <c r="D32" s="63" t="s">
        <v>29</v>
      </c>
      <c r="E32" s="63" t="s">
        <v>30</v>
      </c>
      <c r="F32" s="63" t="s">
        <v>31</v>
      </c>
      <c r="G32" s="63" t="s">
        <v>32</v>
      </c>
      <c r="H32" s="63" t="s">
        <v>33</v>
      </c>
    </row>
    <row r="33" spans="1:8" ht="12" customHeight="1" x14ac:dyDescent="0.2">
      <c r="A33" s="1">
        <v>1</v>
      </c>
      <c r="B33" s="66">
        <v>227.1</v>
      </c>
      <c r="C33" s="67">
        <v>28</v>
      </c>
      <c r="D33" s="67" t="str">
        <f>IF(B33 &lt; 300,"sim","nao")</f>
        <v>sim</v>
      </c>
      <c r="E33" s="2">
        <f t="shared" si="0"/>
        <v>45.42</v>
      </c>
      <c r="F33" s="68">
        <f t="shared" ref="F33:F59" si="4">1+(14*B33)/300</f>
        <v>11.598000000000001</v>
      </c>
      <c r="G33" s="69">
        <v>5</v>
      </c>
      <c r="H33" s="2" t="str">
        <f t="shared" si="3"/>
        <v>não</v>
      </c>
    </row>
    <row r="34" spans="1:8" ht="12" customHeight="1" x14ac:dyDescent="0.2">
      <c r="A34" s="70">
        <v>2</v>
      </c>
      <c r="B34" s="66">
        <v>224.2</v>
      </c>
      <c r="C34" s="67">
        <v>41</v>
      </c>
      <c r="D34" s="67" t="str">
        <f t="shared" ref="D34:D59" si="5">IF(B34 &lt; 300,"sim","nao")</f>
        <v>sim</v>
      </c>
      <c r="E34" s="2">
        <f t="shared" si="0"/>
        <v>44.839999999999996</v>
      </c>
      <c r="F34" s="68">
        <f t="shared" si="4"/>
        <v>11.462666666666665</v>
      </c>
      <c r="G34" s="69">
        <v>7</v>
      </c>
      <c r="H34" s="2" t="str">
        <f t="shared" si="3"/>
        <v>não</v>
      </c>
    </row>
    <row r="35" spans="1:8" ht="12" customHeight="1" x14ac:dyDescent="0.2">
      <c r="A35" s="70">
        <v>3</v>
      </c>
      <c r="B35" s="66">
        <v>227.2</v>
      </c>
      <c r="C35" s="67">
        <v>47</v>
      </c>
      <c r="D35" s="67" t="str">
        <f t="shared" si="5"/>
        <v>sim</v>
      </c>
      <c r="E35" s="2">
        <f t="shared" si="0"/>
        <v>45.44</v>
      </c>
      <c r="F35" s="68">
        <f t="shared" si="4"/>
        <v>11.602666666666666</v>
      </c>
      <c r="G35" s="69">
        <v>7</v>
      </c>
      <c r="H35" s="2" t="str">
        <f t="shared" si="3"/>
        <v>não</v>
      </c>
    </row>
    <row r="36" spans="1:8" ht="12" customHeight="1" x14ac:dyDescent="0.2">
      <c r="A36" s="70">
        <v>4</v>
      </c>
      <c r="B36" s="48">
        <v>250.9</v>
      </c>
      <c r="C36" s="67">
        <v>35</v>
      </c>
      <c r="D36" s="67" t="str">
        <f t="shared" si="5"/>
        <v>sim</v>
      </c>
      <c r="E36" s="2">
        <f t="shared" si="0"/>
        <v>50.18</v>
      </c>
      <c r="F36" s="68">
        <f t="shared" si="4"/>
        <v>12.708666666666666</v>
      </c>
      <c r="G36" s="48">
        <v>7</v>
      </c>
      <c r="H36" s="2" t="str">
        <f t="shared" si="3"/>
        <v>não</v>
      </c>
    </row>
    <row r="37" spans="1:8" ht="12" customHeight="1" x14ac:dyDescent="0.2">
      <c r="A37" s="70">
        <v>5</v>
      </c>
      <c r="B37" s="48">
        <v>150.19999999999999</v>
      </c>
      <c r="C37" s="67">
        <v>14</v>
      </c>
      <c r="D37" s="67" t="str">
        <f t="shared" si="5"/>
        <v>sim</v>
      </c>
      <c r="E37" s="2">
        <f t="shared" si="0"/>
        <v>30.04</v>
      </c>
      <c r="F37" s="68">
        <f t="shared" si="4"/>
        <v>8.0093333333333323</v>
      </c>
      <c r="G37" s="48">
        <v>5</v>
      </c>
      <c r="H37" s="2" t="str">
        <f t="shared" si="3"/>
        <v>não</v>
      </c>
    </row>
    <row r="38" spans="1:8" ht="12" customHeight="1" x14ac:dyDescent="0.2">
      <c r="A38" s="70">
        <v>6</v>
      </c>
      <c r="B38" s="74">
        <v>300.5</v>
      </c>
      <c r="C38" s="2">
        <v>133</v>
      </c>
      <c r="D38" s="2" t="str">
        <f t="shared" si="5"/>
        <v>nao</v>
      </c>
      <c r="E38" s="2">
        <f t="shared" si="0"/>
        <v>60.1</v>
      </c>
      <c r="F38" s="73">
        <f t="shared" si="4"/>
        <v>15.023333333333333</v>
      </c>
      <c r="G38" s="48">
        <v>10</v>
      </c>
      <c r="H38" s="2" t="str">
        <f t="shared" si="3"/>
        <v>não</v>
      </c>
    </row>
    <row r="39" spans="1:8" ht="12" customHeight="1" x14ac:dyDescent="0.2">
      <c r="A39" s="70">
        <v>7</v>
      </c>
      <c r="B39" s="48">
        <v>197.5</v>
      </c>
      <c r="C39" s="67">
        <v>78</v>
      </c>
      <c r="D39" s="67" t="str">
        <f t="shared" si="5"/>
        <v>sim</v>
      </c>
      <c r="E39" s="2">
        <f t="shared" si="0"/>
        <v>39.5</v>
      </c>
      <c r="F39" s="68">
        <f t="shared" si="4"/>
        <v>10.216666666666667</v>
      </c>
      <c r="G39" s="48">
        <v>7</v>
      </c>
      <c r="H39" s="2" t="str">
        <f t="shared" si="3"/>
        <v>não</v>
      </c>
    </row>
    <row r="40" spans="1:8" ht="12" customHeight="1" x14ac:dyDescent="0.2">
      <c r="A40" s="70">
        <v>8</v>
      </c>
      <c r="B40" s="48">
        <v>110</v>
      </c>
      <c r="C40" s="67">
        <v>81</v>
      </c>
      <c r="D40" s="67" t="str">
        <f t="shared" si="5"/>
        <v>sim</v>
      </c>
      <c r="E40" s="2">
        <f t="shared" si="0"/>
        <v>22</v>
      </c>
      <c r="F40" s="68">
        <f t="shared" si="4"/>
        <v>6.1333333333333337</v>
      </c>
      <c r="G40" s="48">
        <v>10</v>
      </c>
      <c r="H40" s="2" t="str">
        <f t="shared" si="3"/>
        <v>não</v>
      </c>
    </row>
    <row r="41" spans="1:8" ht="12" customHeight="1" x14ac:dyDescent="0.2">
      <c r="A41" s="70">
        <v>9</v>
      </c>
      <c r="B41" s="48">
        <v>230</v>
      </c>
      <c r="C41" s="67">
        <v>13</v>
      </c>
      <c r="D41" s="67" t="str">
        <f t="shared" si="5"/>
        <v>sim</v>
      </c>
      <c r="E41" s="2">
        <f t="shared" si="0"/>
        <v>46</v>
      </c>
      <c r="F41" s="68">
        <f t="shared" si="4"/>
        <v>11.733333333333333</v>
      </c>
      <c r="G41" s="48">
        <v>3</v>
      </c>
      <c r="H41" s="2" t="str">
        <f t="shared" si="3"/>
        <v>não</v>
      </c>
    </row>
    <row r="42" spans="1:8" ht="12" customHeight="1" x14ac:dyDescent="0.2">
      <c r="A42" s="70">
        <v>10</v>
      </c>
      <c r="B42" s="48">
        <v>83.4</v>
      </c>
      <c r="C42" s="67">
        <v>133</v>
      </c>
      <c r="D42" s="67" t="str">
        <f t="shared" si="5"/>
        <v>sim</v>
      </c>
      <c r="E42" s="2">
        <f t="shared" si="0"/>
        <v>16.68</v>
      </c>
      <c r="F42" s="68">
        <f t="shared" si="4"/>
        <v>4.8920000000000003</v>
      </c>
      <c r="G42" s="48">
        <v>10</v>
      </c>
      <c r="H42" s="2" t="str">
        <f t="shared" si="3"/>
        <v>não</v>
      </c>
    </row>
    <row r="43" spans="1:8" ht="12" customHeight="1" x14ac:dyDescent="0.2">
      <c r="A43" s="70">
        <v>11</v>
      </c>
      <c r="B43" s="48">
        <v>166.1</v>
      </c>
      <c r="C43" s="67">
        <v>210</v>
      </c>
      <c r="D43" s="67" t="str">
        <f t="shared" si="5"/>
        <v>sim</v>
      </c>
      <c r="E43" s="2">
        <f t="shared" si="0"/>
        <v>33.22</v>
      </c>
      <c r="F43" s="68">
        <f t="shared" si="4"/>
        <v>8.751333333333335</v>
      </c>
      <c r="G43" s="48">
        <v>10</v>
      </c>
      <c r="H43" s="2" t="str">
        <f t="shared" si="3"/>
        <v>não</v>
      </c>
    </row>
    <row r="44" spans="1:8" ht="12" customHeight="1" x14ac:dyDescent="0.2">
      <c r="A44" s="70">
        <v>12</v>
      </c>
      <c r="B44" s="48">
        <v>165.4</v>
      </c>
      <c r="C44" s="67">
        <v>27</v>
      </c>
      <c r="D44" s="67" t="str">
        <f t="shared" si="5"/>
        <v>sim</v>
      </c>
      <c r="E44" s="2">
        <f t="shared" si="0"/>
        <v>33.08</v>
      </c>
      <c r="F44" s="68">
        <f t="shared" si="4"/>
        <v>8.7186666666666675</v>
      </c>
      <c r="G44" s="48">
        <v>3</v>
      </c>
      <c r="H44" s="2" t="str">
        <f t="shared" si="3"/>
        <v>não</v>
      </c>
    </row>
    <row r="45" spans="1:8" ht="12" customHeight="1" x14ac:dyDescent="0.2">
      <c r="A45" s="70">
        <v>13</v>
      </c>
      <c r="B45" s="48">
        <v>253.9</v>
      </c>
      <c r="C45" s="67">
        <v>132</v>
      </c>
      <c r="D45" s="67" t="str">
        <f t="shared" si="5"/>
        <v>sim</v>
      </c>
      <c r="E45" s="2">
        <f t="shared" si="0"/>
        <v>50.78</v>
      </c>
      <c r="F45" s="68">
        <f t="shared" si="4"/>
        <v>12.848666666666666</v>
      </c>
      <c r="G45" s="48">
        <v>7</v>
      </c>
      <c r="H45" s="2" t="str">
        <f t="shared" si="3"/>
        <v>não</v>
      </c>
    </row>
    <row r="46" spans="1:8" ht="12" customHeight="1" x14ac:dyDescent="0.2">
      <c r="A46" s="70">
        <v>14</v>
      </c>
      <c r="B46" s="48">
        <v>221.4</v>
      </c>
      <c r="C46" s="67">
        <v>66</v>
      </c>
      <c r="D46" s="67" t="str">
        <f t="shared" si="5"/>
        <v>sim</v>
      </c>
      <c r="E46" s="2">
        <f t="shared" si="0"/>
        <v>44.28</v>
      </c>
      <c r="F46" s="68">
        <f t="shared" si="4"/>
        <v>11.331999999999999</v>
      </c>
      <c r="G46" s="48">
        <v>10</v>
      </c>
      <c r="H46" s="2" t="str">
        <f t="shared" si="3"/>
        <v>não</v>
      </c>
    </row>
    <row r="47" spans="1:8" ht="12" customHeight="1" x14ac:dyDescent="0.2">
      <c r="A47" s="70">
        <v>15</v>
      </c>
      <c r="B47" s="48">
        <v>204.8</v>
      </c>
      <c r="C47" s="67">
        <v>7</v>
      </c>
      <c r="D47" s="67" t="str">
        <f t="shared" si="5"/>
        <v>sim</v>
      </c>
      <c r="E47" s="2">
        <f t="shared" si="0"/>
        <v>40.96</v>
      </c>
      <c r="F47" s="68">
        <f t="shared" si="4"/>
        <v>10.557333333333334</v>
      </c>
      <c r="G47" s="48">
        <v>3</v>
      </c>
      <c r="H47" s="2" t="str">
        <f t="shared" si="3"/>
        <v>não</v>
      </c>
    </row>
    <row r="48" spans="1:8" ht="12" customHeight="1" x14ac:dyDescent="0.2">
      <c r="A48" s="70">
        <v>16</v>
      </c>
      <c r="B48" s="48">
        <v>268.8</v>
      </c>
      <c r="C48" s="67">
        <v>121</v>
      </c>
      <c r="D48" s="67" t="str">
        <f t="shared" si="5"/>
        <v>sim</v>
      </c>
      <c r="E48" s="2">
        <f t="shared" si="0"/>
        <v>53.760000000000005</v>
      </c>
      <c r="F48" s="68">
        <f t="shared" si="4"/>
        <v>13.544</v>
      </c>
      <c r="G48" s="48">
        <v>10</v>
      </c>
      <c r="H48" s="2" t="str">
        <f t="shared" si="3"/>
        <v>não</v>
      </c>
    </row>
    <row r="49" spans="1:8" ht="12" customHeight="1" x14ac:dyDescent="0.2">
      <c r="A49" s="70">
        <v>17</v>
      </c>
      <c r="B49" s="48">
        <v>245.6</v>
      </c>
      <c r="C49" s="67">
        <v>20</v>
      </c>
      <c r="D49" s="67" t="str">
        <f t="shared" si="5"/>
        <v>sim</v>
      </c>
      <c r="E49" s="2">
        <f t="shared" si="0"/>
        <v>49.12</v>
      </c>
      <c r="F49" s="68">
        <f t="shared" si="4"/>
        <v>12.461333333333334</v>
      </c>
      <c r="G49" s="48">
        <v>7</v>
      </c>
      <c r="H49" s="2" t="str">
        <f t="shared" si="3"/>
        <v>não</v>
      </c>
    </row>
    <row r="50" spans="1:8" ht="12" customHeight="1" x14ac:dyDescent="0.2">
      <c r="A50" s="70">
        <v>18</v>
      </c>
      <c r="B50" s="48">
        <v>243.6</v>
      </c>
      <c r="C50" s="67">
        <v>20</v>
      </c>
      <c r="D50" s="67" t="str">
        <f t="shared" si="5"/>
        <v>sim</v>
      </c>
      <c r="E50" s="2">
        <f t="shared" si="0"/>
        <v>48.72</v>
      </c>
      <c r="F50" s="68">
        <f t="shared" si="4"/>
        <v>12.368</v>
      </c>
      <c r="G50" s="48">
        <v>7</v>
      </c>
      <c r="H50" s="2" t="str">
        <f t="shared" si="3"/>
        <v>não</v>
      </c>
    </row>
    <row r="51" spans="1:8" ht="12" customHeight="1" x14ac:dyDescent="0.2">
      <c r="A51" s="70">
        <v>19</v>
      </c>
      <c r="B51" s="48">
        <v>254.2</v>
      </c>
      <c r="C51" s="67">
        <v>20</v>
      </c>
      <c r="D51" s="67" t="str">
        <f t="shared" si="5"/>
        <v>sim</v>
      </c>
      <c r="E51" s="2">
        <f t="shared" si="0"/>
        <v>50.839999999999996</v>
      </c>
      <c r="F51" s="68">
        <f t="shared" si="4"/>
        <v>12.862666666666666</v>
      </c>
      <c r="G51" s="48">
        <v>7</v>
      </c>
      <c r="H51" s="2" t="str">
        <f t="shared" si="3"/>
        <v>não</v>
      </c>
    </row>
    <row r="52" spans="1:8" ht="12" customHeight="1" x14ac:dyDescent="0.2">
      <c r="A52" s="70">
        <v>20</v>
      </c>
      <c r="B52" s="48">
        <v>248.8</v>
      </c>
      <c r="C52" s="67">
        <v>20</v>
      </c>
      <c r="D52" s="67" t="str">
        <f t="shared" si="5"/>
        <v>sim</v>
      </c>
      <c r="E52" s="2">
        <f t="shared" si="0"/>
        <v>49.760000000000005</v>
      </c>
      <c r="F52" s="68">
        <f t="shared" si="4"/>
        <v>12.610666666666667</v>
      </c>
      <c r="G52" s="48">
        <v>7</v>
      </c>
      <c r="H52" s="2" t="str">
        <f t="shared" si="3"/>
        <v>não</v>
      </c>
    </row>
    <row r="53" spans="1:8" ht="12" customHeight="1" x14ac:dyDescent="0.2">
      <c r="A53" s="70">
        <v>21</v>
      </c>
      <c r="B53" s="48">
        <v>228.5</v>
      </c>
      <c r="C53" s="67">
        <v>20</v>
      </c>
      <c r="D53" s="67" t="str">
        <f t="shared" si="5"/>
        <v>sim</v>
      </c>
      <c r="E53" s="2">
        <f t="shared" si="0"/>
        <v>45.7</v>
      </c>
      <c r="F53" s="68">
        <f t="shared" si="4"/>
        <v>11.663333333333334</v>
      </c>
      <c r="G53" s="48">
        <v>7</v>
      </c>
      <c r="H53" s="2" t="str">
        <f t="shared" si="3"/>
        <v>não</v>
      </c>
    </row>
    <row r="54" spans="1:8" ht="12" customHeight="1" x14ac:dyDescent="0.2">
      <c r="A54" s="70">
        <v>22</v>
      </c>
      <c r="B54" s="48">
        <v>237.2</v>
      </c>
      <c r="C54" s="67">
        <v>20</v>
      </c>
      <c r="D54" s="67" t="str">
        <f t="shared" si="5"/>
        <v>sim</v>
      </c>
      <c r="E54" s="2">
        <f t="shared" si="0"/>
        <v>47.44</v>
      </c>
      <c r="F54" s="68">
        <f t="shared" si="4"/>
        <v>12.069333333333333</v>
      </c>
      <c r="G54" s="48">
        <v>7</v>
      </c>
      <c r="H54" s="2" t="str">
        <f t="shared" si="3"/>
        <v>não</v>
      </c>
    </row>
    <row r="55" spans="1:8" ht="12" customHeight="1" x14ac:dyDescent="0.2">
      <c r="A55" s="70">
        <v>23</v>
      </c>
      <c r="B55" s="48">
        <v>232.7</v>
      </c>
      <c r="C55" s="67">
        <v>20</v>
      </c>
      <c r="D55" s="67" t="str">
        <f t="shared" si="5"/>
        <v>sim</v>
      </c>
      <c r="E55" s="2">
        <f t="shared" si="0"/>
        <v>46.54</v>
      </c>
      <c r="F55" s="68">
        <f t="shared" si="4"/>
        <v>11.859333333333332</v>
      </c>
      <c r="G55" s="48">
        <v>7</v>
      </c>
      <c r="H55" s="2" t="str">
        <f t="shared" si="3"/>
        <v>não</v>
      </c>
    </row>
    <row r="56" spans="1:8" ht="12" customHeight="1" x14ac:dyDescent="0.2">
      <c r="A56" s="70">
        <v>24</v>
      </c>
      <c r="B56" s="48">
        <v>239.9</v>
      </c>
      <c r="C56" s="67">
        <v>20</v>
      </c>
      <c r="D56" s="67" t="str">
        <f t="shared" si="5"/>
        <v>sim</v>
      </c>
      <c r="E56" s="2">
        <f t="shared" si="0"/>
        <v>47.980000000000004</v>
      </c>
      <c r="F56" s="68">
        <f t="shared" si="4"/>
        <v>12.195333333333332</v>
      </c>
      <c r="G56" s="48">
        <v>7</v>
      </c>
      <c r="H56" s="2" t="str">
        <f t="shared" si="3"/>
        <v>não</v>
      </c>
    </row>
    <row r="57" spans="1:8" ht="12" customHeight="1" x14ac:dyDescent="0.2">
      <c r="A57" s="70">
        <v>25</v>
      </c>
      <c r="B57" s="48">
        <v>229</v>
      </c>
      <c r="C57" s="67">
        <v>73</v>
      </c>
      <c r="D57" s="67" t="str">
        <f t="shared" si="5"/>
        <v>sim</v>
      </c>
      <c r="E57" s="2">
        <f t="shared" si="0"/>
        <v>45.8</v>
      </c>
      <c r="F57" s="68">
        <f t="shared" si="4"/>
        <v>11.686666666666667</v>
      </c>
      <c r="G57" s="48">
        <v>7</v>
      </c>
      <c r="H57" s="2" t="str">
        <f t="shared" si="3"/>
        <v>não</v>
      </c>
    </row>
    <row r="58" spans="1:8" ht="12" customHeight="1" x14ac:dyDescent="0.2">
      <c r="A58" s="70">
        <v>26</v>
      </c>
      <c r="B58" s="48">
        <v>228.6</v>
      </c>
      <c r="C58" s="67">
        <v>75</v>
      </c>
      <c r="D58" s="67" t="str">
        <f t="shared" si="5"/>
        <v>sim</v>
      </c>
      <c r="E58" s="2">
        <f t="shared" si="0"/>
        <v>45.72</v>
      </c>
      <c r="F58" s="68">
        <f t="shared" si="4"/>
        <v>11.668000000000001</v>
      </c>
      <c r="G58" s="48">
        <v>7</v>
      </c>
      <c r="H58" s="2" t="str">
        <f t="shared" si="3"/>
        <v>não</v>
      </c>
    </row>
    <row r="59" spans="1:8" ht="30" customHeight="1" x14ac:dyDescent="0.2">
      <c r="A59" s="71" t="s">
        <v>39</v>
      </c>
      <c r="B59" s="68">
        <v>4.08</v>
      </c>
      <c r="C59" s="67">
        <f>90.24+15.06</f>
        <v>105.3</v>
      </c>
      <c r="D59" s="67" t="str">
        <f t="shared" si="5"/>
        <v>sim</v>
      </c>
      <c r="E59" s="2">
        <f t="shared" si="0"/>
        <v>0.81600000000000006</v>
      </c>
      <c r="F59" s="68">
        <f t="shared" si="4"/>
        <v>1.1903999999999999</v>
      </c>
      <c r="G59" s="48">
        <v>13.17</v>
      </c>
      <c r="H59" s="81" t="str">
        <f t="shared" si="3"/>
        <v>sim</v>
      </c>
    </row>
    <row r="60" spans="1:8" s="75" customFormat="1" ht="9.9499999999999993" customHeight="1" x14ac:dyDescent="0.2">
      <c r="A60" s="72"/>
      <c r="B60" s="73"/>
      <c r="C60" s="2"/>
      <c r="D60" s="2"/>
      <c r="E60" s="2"/>
      <c r="F60" s="73"/>
      <c r="G60" s="74"/>
      <c r="H60" s="2"/>
    </row>
    <row r="61" spans="1:8" ht="20.100000000000001" customHeight="1" thickBot="1" x14ac:dyDescent="0.25">
      <c r="A61" s="193" t="s">
        <v>4</v>
      </c>
      <c r="B61" s="193"/>
      <c r="C61" s="193"/>
      <c r="D61" s="193"/>
      <c r="E61" s="193"/>
      <c r="F61" s="193"/>
      <c r="G61" s="193"/>
      <c r="H61" s="193"/>
    </row>
    <row r="62" spans="1:8" s="65" customFormat="1" ht="26.1" customHeight="1" thickBot="1" x14ac:dyDescent="0.25">
      <c r="A62" s="63" t="s">
        <v>28</v>
      </c>
      <c r="B62" s="64" t="s">
        <v>22</v>
      </c>
      <c r="C62" s="63" t="s">
        <v>23</v>
      </c>
      <c r="D62" s="63" t="s">
        <v>29</v>
      </c>
      <c r="E62" s="63" t="s">
        <v>30</v>
      </c>
      <c r="F62" s="63" t="s">
        <v>31</v>
      </c>
      <c r="G62" s="63" t="s">
        <v>32</v>
      </c>
      <c r="H62" s="63" t="s">
        <v>33</v>
      </c>
    </row>
    <row r="63" spans="1:8" ht="12" customHeight="1" x14ac:dyDescent="0.2">
      <c r="A63" s="1">
        <v>1</v>
      </c>
      <c r="B63" s="66">
        <v>221.2</v>
      </c>
      <c r="C63" s="67">
        <v>28</v>
      </c>
      <c r="D63" s="67" t="str">
        <f>IF(B63 &lt; 300,"sim","nao")</f>
        <v>sim</v>
      </c>
      <c r="E63" s="2">
        <f t="shared" ref="E63:E89" si="6">B63/5</f>
        <v>44.239999999999995</v>
      </c>
      <c r="F63" s="68">
        <f t="shared" ref="F63:F89" si="7">1+(14*B63)/300</f>
        <v>11.322666666666665</v>
      </c>
      <c r="G63" s="69">
        <v>5</v>
      </c>
      <c r="H63" s="2" t="str">
        <f t="shared" ref="H63:H89" si="8">IF(AND(G63&gt;=E63,C63&gt;=F63),"sim","não")</f>
        <v>não</v>
      </c>
    </row>
    <row r="64" spans="1:8" ht="12" customHeight="1" x14ac:dyDescent="0.2">
      <c r="A64" s="70">
        <v>2</v>
      </c>
      <c r="B64" s="66">
        <v>220.7</v>
      </c>
      <c r="C64" s="67">
        <v>41</v>
      </c>
      <c r="D64" s="67" t="str">
        <f t="shared" ref="D64:D89" si="9">IF(B64 &lt; 300,"sim","nao")</f>
        <v>sim</v>
      </c>
      <c r="E64" s="2">
        <f t="shared" si="6"/>
        <v>44.14</v>
      </c>
      <c r="F64" s="68">
        <f t="shared" si="7"/>
        <v>11.299333333333333</v>
      </c>
      <c r="G64" s="69">
        <v>7</v>
      </c>
      <c r="H64" s="2" t="str">
        <f t="shared" si="8"/>
        <v>não</v>
      </c>
    </row>
    <row r="65" spans="1:8" ht="12" customHeight="1" x14ac:dyDescent="0.2">
      <c r="A65" s="70">
        <v>3</v>
      </c>
      <c r="B65" s="66">
        <v>236</v>
      </c>
      <c r="C65" s="67">
        <v>47</v>
      </c>
      <c r="D65" s="67" t="str">
        <f t="shared" si="9"/>
        <v>sim</v>
      </c>
      <c r="E65" s="2">
        <f t="shared" si="6"/>
        <v>47.2</v>
      </c>
      <c r="F65" s="68">
        <f t="shared" si="7"/>
        <v>12.013333333333334</v>
      </c>
      <c r="G65" s="69">
        <v>7</v>
      </c>
      <c r="H65" s="2" t="str">
        <f t="shared" si="8"/>
        <v>não</v>
      </c>
    </row>
    <row r="66" spans="1:8" ht="12" customHeight="1" x14ac:dyDescent="0.2">
      <c r="A66" s="70">
        <v>4</v>
      </c>
      <c r="B66" s="48">
        <v>242.4</v>
      </c>
      <c r="C66" s="67">
        <v>35</v>
      </c>
      <c r="D66" s="67" t="str">
        <f t="shared" si="9"/>
        <v>sim</v>
      </c>
      <c r="E66" s="2">
        <f t="shared" si="6"/>
        <v>48.480000000000004</v>
      </c>
      <c r="F66" s="68">
        <f t="shared" si="7"/>
        <v>12.311999999999999</v>
      </c>
      <c r="G66" s="48">
        <v>7</v>
      </c>
      <c r="H66" s="2" t="str">
        <f t="shared" si="8"/>
        <v>não</v>
      </c>
    </row>
    <row r="67" spans="1:8" ht="12" customHeight="1" x14ac:dyDescent="0.2">
      <c r="A67" s="70">
        <v>5</v>
      </c>
      <c r="B67" s="48">
        <v>148</v>
      </c>
      <c r="C67" s="67">
        <v>14</v>
      </c>
      <c r="D67" s="67" t="str">
        <f t="shared" si="9"/>
        <v>sim</v>
      </c>
      <c r="E67" s="2">
        <f t="shared" si="6"/>
        <v>29.6</v>
      </c>
      <c r="F67" s="68">
        <f t="shared" si="7"/>
        <v>7.9066666666666663</v>
      </c>
      <c r="G67" s="48">
        <v>5</v>
      </c>
      <c r="H67" s="2" t="str">
        <f t="shared" si="8"/>
        <v>não</v>
      </c>
    </row>
    <row r="68" spans="1:8" ht="12" customHeight="1" x14ac:dyDescent="0.2">
      <c r="A68" s="70">
        <v>6</v>
      </c>
      <c r="B68" s="48">
        <v>285.39999999999998</v>
      </c>
      <c r="C68" s="2">
        <v>133</v>
      </c>
      <c r="D68" s="67" t="str">
        <f t="shared" si="9"/>
        <v>sim</v>
      </c>
      <c r="E68" s="2">
        <f t="shared" si="6"/>
        <v>57.08</v>
      </c>
      <c r="F68" s="68">
        <f t="shared" si="7"/>
        <v>14.318666666666665</v>
      </c>
      <c r="G68" s="48">
        <v>10</v>
      </c>
      <c r="H68" s="2" t="str">
        <f t="shared" si="8"/>
        <v>não</v>
      </c>
    </row>
    <row r="69" spans="1:8" ht="12" customHeight="1" x14ac:dyDescent="0.2">
      <c r="A69" s="70">
        <v>7</v>
      </c>
      <c r="B69" s="48">
        <v>185.8</v>
      </c>
      <c r="C69" s="67">
        <v>78</v>
      </c>
      <c r="D69" s="67" t="str">
        <f t="shared" si="9"/>
        <v>sim</v>
      </c>
      <c r="E69" s="2">
        <f t="shared" si="6"/>
        <v>37.160000000000004</v>
      </c>
      <c r="F69" s="68">
        <f t="shared" si="7"/>
        <v>9.6706666666666674</v>
      </c>
      <c r="G69" s="48">
        <v>7</v>
      </c>
      <c r="H69" s="2" t="str">
        <f t="shared" si="8"/>
        <v>não</v>
      </c>
    </row>
    <row r="70" spans="1:8" ht="12" customHeight="1" x14ac:dyDescent="0.2">
      <c r="A70" s="70">
        <v>8</v>
      </c>
      <c r="B70" s="48">
        <v>94.8</v>
      </c>
      <c r="C70" s="67">
        <v>81</v>
      </c>
      <c r="D70" s="67" t="str">
        <f t="shared" si="9"/>
        <v>sim</v>
      </c>
      <c r="E70" s="2">
        <f t="shared" si="6"/>
        <v>18.96</v>
      </c>
      <c r="F70" s="68">
        <f t="shared" si="7"/>
        <v>5.4240000000000004</v>
      </c>
      <c r="G70" s="48">
        <v>10</v>
      </c>
      <c r="H70" s="2" t="str">
        <f t="shared" si="8"/>
        <v>não</v>
      </c>
    </row>
    <row r="71" spans="1:8" ht="12" customHeight="1" x14ac:dyDescent="0.2">
      <c r="A71" s="70">
        <v>9</v>
      </c>
      <c r="B71" s="48">
        <v>216.4</v>
      </c>
      <c r="C71" s="67">
        <v>13</v>
      </c>
      <c r="D71" s="67" t="str">
        <f t="shared" si="9"/>
        <v>sim</v>
      </c>
      <c r="E71" s="2">
        <f t="shared" si="6"/>
        <v>43.28</v>
      </c>
      <c r="F71" s="68">
        <f t="shared" si="7"/>
        <v>11.098666666666666</v>
      </c>
      <c r="G71" s="48">
        <v>3</v>
      </c>
      <c r="H71" s="2" t="str">
        <f t="shared" si="8"/>
        <v>não</v>
      </c>
    </row>
    <row r="72" spans="1:8" ht="12" customHeight="1" x14ac:dyDescent="0.2">
      <c r="A72" s="70">
        <v>10</v>
      </c>
      <c r="B72" s="48">
        <v>75.3</v>
      </c>
      <c r="C72" s="67">
        <v>133</v>
      </c>
      <c r="D72" s="67" t="str">
        <f t="shared" si="9"/>
        <v>sim</v>
      </c>
      <c r="E72" s="2">
        <f t="shared" si="6"/>
        <v>15.059999999999999</v>
      </c>
      <c r="F72" s="68">
        <f t="shared" si="7"/>
        <v>4.5140000000000002</v>
      </c>
      <c r="G72" s="48">
        <v>10</v>
      </c>
      <c r="H72" s="2" t="str">
        <f t="shared" si="8"/>
        <v>não</v>
      </c>
    </row>
    <row r="73" spans="1:8" ht="12" customHeight="1" x14ac:dyDescent="0.2">
      <c r="A73" s="70">
        <v>11</v>
      </c>
      <c r="B73" s="48">
        <v>181.2</v>
      </c>
      <c r="C73" s="67">
        <v>210</v>
      </c>
      <c r="D73" s="67" t="str">
        <f t="shared" si="9"/>
        <v>sim</v>
      </c>
      <c r="E73" s="2">
        <f t="shared" si="6"/>
        <v>36.239999999999995</v>
      </c>
      <c r="F73" s="68">
        <f t="shared" si="7"/>
        <v>9.4559999999999995</v>
      </c>
      <c r="G73" s="48">
        <v>10</v>
      </c>
      <c r="H73" s="2" t="str">
        <f t="shared" si="8"/>
        <v>não</v>
      </c>
    </row>
    <row r="74" spans="1:8" ht="12" customHeight="1" x14ac:dyDescent="0.2">
      <c r="A74" s="70">
        <v>12</v>
      </c>
      <c r="B74" s="48">
        <v>171.8</v>
      </c>
      <c r="C74" s="67">
        <v>27</v>
      </c>
      <c r="D74" s="67" t="str">
        <f t="shared" si="9"/>
        <v>sim</v>
      </c>
      <c r="E74" s="2">
        <f t="shared" si="6"/>
        <v>34.36</v>
      </c>
      <c r="F74" s="68">
        <f t="shared" si="7"/>
        <v>9.017333333333335</v>
      </c>
      <c r="G74" s="48">
        <v>3</v>
      </c>
      <c r="H74" s="2" t="str">
        <f t="shared" si="8"/>
        <v>não</v>
      </c>
    </row>
    <row r="75" spans="1:8" ht="12" customHeight="1" x14ac:dyDescent="0.2">
      <c r="A75" s="70">
        <v>13</v>
      </c>
      <c r="B75" s="48">
        <v>267.7</v>
      </c>
      <c r="C75" s="67">
        <v>132</v>
      </c>
      <c r="D75" s="67" t="str">
        <f t="shared" si="9"/>
        <v>sim</v>
      </c>
      <c r="E75" s="2">
        <f t="shared" si="6"/>
        <v>53.54</v>
      </c>
      <c r="F75" s="68">
        <f t="shared" si="7"/>
        <v>13.492666666666667</v>
      </c>
      <c r="G75" s="48">
        <v>7</v>
      </c>
      <c r="H75" s="2" t="str">
        <f t="shared" si="8"/>
        <v>não</v>
      </c>
    </row>
    <row r="76" spans="1:8" ht="12" customHeight="1" x14ac:dyDescent="0.2">
      <c r="A76" s="70">
        <v>14</v>
      </c>
      <c r="B76" s="48">
        <v>236.1</v>
      </c>
      <c r="C76" s="67">
        <v>66</v>
      </c>
      <c r="D76" s="67" t="str">
        <f t="shared" si="9"/>
        <v>sim</v>
      </c>
      <c r="E76" s="2">
        <f t="shared" si="6"/>
        <v>47.22</v>
      </c>
      <c r="F76" s="68">
        <f t="shared" si="7"/>
        <v>12.018000000000001</v>
      </c>
      <c r="G76" s="48">
        <v>10</v>
      </c>
      <c r="H76" s="2" t="str">
        <f t="shared" si="8"/>
        <v>não</v>
      </c>
    </row>
    <row r="77" spans="1:8" ht="12" customHeight="1" x14ac:dyDescent="0.2">
      <c r="A77" s="70">
        <v>15</v>
      </c>
      <c r="B77" s="48">
        <v>213.3</v>
      </c>
      <c r="C77" s="67">
        <v>7</v>
      </c>
      <c r="D77" s="67" t="str">
        <f t="shared" si="9"/>
        <v>sim</v>
      </c>
      <c r="E77" s="2">
        <f t="shared" si="6"/>
        <v>42.660000000000004</v>
      </c>
      <c r="F77" s="68">
        <f t="shared" si="7"/>
        <v>10.954000000000001</v>
      </c>
      <c r="G77" s="48">
        <v>3</v>
      </c>
      <c r="H77" s="2" t="str">
        <f t="shared" si="8"/>
        <v>não</v>
      </c>
    </row>
    <row r="78" spans="1:8" ht="12" customHeight="1" x14ac:dyDescent="0.2">
      <c r="A78" s="70">
        <v>16</v>
      </c>
      <c r="B78" s="48">
        <v>283.89999999999998</v>
      </c>
      <c r="C78" s="67">
        <v>121</v>
      </c>
      <c r="D78" s="67" t="str">
        <f t="shared" si="9"/>
        <v>sim</v>
      </c>
      <c r="E78" s="2">
        <f t="shared" si="6"/>
        <v>56.779999999999994</v>
      </c>
      <c r="F78" s="68">
        <f t="shared" si="7"/>
        <v>14.248666666666665</v>
      </c>
      <c r="G78" s="48">
        <v>10</v>
      </c>
      <c r="H78" s="2" t="str">
        <f t="shared" si="8"/>
        <v>não</v>
      </c>
    </row>
    <row r="79" spans="1:8" ht="12" customHeight="1" x14ac:dyDescent="0.2">
      <c r="A79" s="70">
        <v>17</v>
      </c>
      <c r="B79" s="48">
        <v>260.8</v>
      </c>
      <c r="C79" s="67">
        <v>20</v>
      </c>
      <c r="D79" s="67" t="str">
        <f t="shared" si="9"/>
        <v>sim</v>
      </c>
      <c r="E79" s="2">
        <f t="shared" si="6"/>
        <v>52.160000000000004</v>
      </c>
      <c r="F79" s="68">
        <f t="shared" si="7"/>
        <v>13.170666666666667</v>
      </c>
      <c r="G79" s="48">
        <v>7</v>
      </c>
      <c r="H79" s="2" t="str">
        <f t="shared" si="8"/>
        <v>não</v>
      </c>
    </row>
    <row r="80" spans="1:8" ht="12" customHeight="1" x14ac:dyDescent="0.2">
      <c r="A80" s="70">
        <v>18</v>
      </c>
      <c r="B80" s="48">
        <v>258.7</v>
      </c>
      <c r="C80" s="67">
        <v>20</v>
      </c>
      <c r="D80" s="67" t="str">
        <f t="shared" si="9"/>
        <v>sim</v>
      </c>
      <c r="E80" s="2">
        <f t="shared" si="6"/>
        <v>51.739999999999995</v>
      </c>
      <c r="F80" s="68">
        <f t="shared" si="7"/>
        <v>13.072666666666665</v>
      </c>
      <c r="G80" s="48">
        <v>7</v>
      </c>
      <c r="H80" s="2" t="str">
        <f t="shared" si="8"/>
        <v>não</v>
      </c>
    </row>
    <row r="81" spans="1:8" ht="12" customHeight="1" x14ac:dyDescent="0.2">
      <c r="A81" s="70">
        <v>19</v>
      </c>
      <c r="B81" s="48">
        <v>269.2</v>
      </c>
      <c r="C81" s="67">
        <v>20</v>
      </c>
      <c r="D81" s="67" t="str">
        <f t="shared" si="9"/>
        <v>sim</v>
      </c>
      <c r="E81" s="2">
        <f t="shared" si="6"/>
        <v>53.839999999999996</v>
      </c>
      <c r="F81" s="68">
        <f t="shared" si="7"/>
        <v>13.562666666666665</v>
      </c>
      <c r="G81" s="48">
        <v>7</v>
      </c>
      <c r="H81" s="2" t="str">
        <f t="shared" si="8"/>
        <v>não</v>
      </c>
    </row>
    <row r="82" spans="1:8" ht="12" customHeight="1" x14ac:dyDescent="0.2">
      <c r="A82" s="70">
        <v>20</v>
      </c>
      <c r="B82" s="48">
        <v>263.89999999999998</v>
      </c>
      <c r="C82" s="67">
        <v>20</v>
      </c>
      <c r="D82" s="67" t="str">
        <f t="shared" si="9"/>
        <v>sim</v>
      </c>
      <c r="E82" s="2">
        <f t="shared" si="6"/>
        <v>52.779999999999994</v>
      </c>
      <c r="F82" s="68">
        <f t="shared" si="7"/>
        <v>13.315333333333331</v>
      </c>
      <c r="G82" s="48">
        <v>7</v>
      </c>
      <c r="H82" s="2" t="str">
        <f t="shared" si="8"/>
        <v>não</v>
      </c>
    </row>
    <row r="83" spans="1:8" ht="12" customHeight="1" x14ac:dyDescent="0.2">
      <c r="A83" s="70">
        <v>21</v>
      </c>
      <c r="B83" s="48">
        <v>243.7</v>
      </c>
      <c r="C83" s="67">
        <v>20</v>
      </c>
      <c r="D83" s="67" t="str">
        <f t="shared" si="9"/>
        <v>sim</v>
      </c>
      <c r="E83" s="2">
        <f t="shared" si="6"/>
        <v>48.739999999999995</v>
      </c>
      <c r="F83" s="68">
        <f t="shared" si="7"/>
        <v>12.372666666666666</v>
      </c>
      <c r="G83" s="48">
        <v>7</v>
      </c>
      <c r="H83" s="2" t="str">
        <f t="shared" si="8"/>
        <v>não</v>
      </c>
    </row>
    <row r="84" spans="1:8" ht="12" customHeight="1" x14ac:dyDescent="0.2">
      <c r="A84" s="70">
        <v>22</v>
      </c>
      <c r="B84" s="48">
        <v>252.1</v>
      </c>
      <c r="C84" s="67">
        <v>20</v>
      </c>
      <c r="D84" s="67" t="str">
        <f t="shared" si="9"/>
        <v>sim</v>
      </c>
      <c r="E84" s="2">
        <f t="shared" si="6"/>
        <v>50.42</v>
      </c>
      <c r="F84" s="68">
        <f t="shared" si="7"/>
        <v>12.764666666666667</v>
      </c>
      <c r="G84" s="48">
        <v>7</v>
      </c>
      <c r="H84" s="2" t="str">
        <f t="shared" si="8"/>
        <v>não</v>
      </c>
    </row>
    <row r="85" spans="1:8" ht="12" customHeight="1" x14ac:dyDescent="0.2">
      <c r="A85" s="70">
        <v>23</v>
      </c>
      <c r="B85" s="48">
        <v>247.8</v>
      </c>
      <c r="C85" s="67">
        <v>20</v>
      </c>
      <c r="D85" s="67" t="str">
        <f t="shared" si="9"/>
        <v>sim</v>
      </c>
      <c r="E85" s="2">
        <f t="shared" si="6"/>
        <v>49.56</v>
      </c>
      <c r="F85" s="68">
        <f t="shared" si="7"/>
        <v>12.564</v>
      </c>
      <c r="G85" s="48">
        <v>7</v>
      </c>
      <c r="H85" s="2" t="str">
        <f t="shared" si="8"/>
        <v>não</v>
      </c>
    </row>
    <row r="86" spans="1:8" ht="12" customHeight="1" x14ac:dyDescent="0.2">
      <c r="A86" s="70">
        <v>24</v>
      </c>
      <c r="B86" s="48">
        <v>242.9</v>
      </c>
      <c r="C86" s="67">
        <v>20</v>
      </c>
      <c r="D86" s="67" t="str">
        <f t="shared" si="9"/>
        <v>sim</v>
      </c>
      <c r="E86" s="2">
        <f t="shared" si="6"/>
        <v>48.58</v>
      </c>
      <c r="F86" s="68">
        <f t="shared" si="7"/>
        <v>12.335333333333333</v>
      </c>
      <c r="G86" s="48">
        <v>7</v>
      </c>
      <c r="H86" s="2" t="str">
        <f t="shared" si="8"/>
        <v>não</v>
      </c>
    </row>
    <row r="87" spans="1:8" ht="12" customHeight="1" x14ac:dyDescent="0.2">
      <c r="A87" s="70">
        <v>25</v>
      </c>
      <c r="B87" s="48">
        <v>203.4</v>
      </c>
      <c r="C87" s="67">
        <v>73</v>
      </c>
      <c r="D87" s="67" t="str">
        <f t="shared" si="9"/>
        <v>sim</v>
      </c>
      <c r="E87" s="2">
        <f t="shared" si="6"/>
        <v>40.68</v>
      </c>
      <c r="F87" s="68">
        <f t="shared" si="7"/>
        <v>10.491999999999999</v>
      </c>
      <c r="G87" s="48">
        <v>7</v>
      </c>
      <c r="H87" s="2" t="str">
        <f t="shared" si="8"/>
        <v>não</v>
      </c>
    </row>
    <row r="88" spans="1:8" ht="12" customHeight="1" x14ac:dyDescent="0.2">
      <c r="A88" s="70">
        <v>26</v>
      </c>
      <c r="B88" s="48">
        <v>228</v>
      </c>
      <c r="C88" s="67">
        <v>75</v>
      </c>
      <c r="D88" s="67" t="str">
        <f t="shared" si="9"/>
        <v>sim</v>
      </c>
      <c r="E88" s="2">
        <f t="shared" si="6"/>
        <v>45.6</v>
      </c>
      <c r="F88" s="68">
        <f t="shared" si="7"/>
        <v>11.64</v>
      </c>
      <c r="G88" s="48">
        <v>7</v>
      </c>
      <c r="H88" s="2" t="str">
        <f t="shared" si="8"/>
        <v>não</v>
      </c>
    </row>
    <row r="89" spans="1:8" ht="30" customHeight="1" x14ac:dyDescent="0.2">
      <c r="A89" s="71" t="s">
        <v>39</v>
      </c>
      <c r="B89" s="73">
        <v>2.76</v>
      </c>
      <c r="C89" s="67">
        <f>90.24+15.06</f>
        <v>105.3</v>
      </c>
      <c r="D89" s="67" t="str">
        <f t="shared" si="9"/>
        <v>sim</v>
      </c>
      <c r="E89" s="2">
        <f t="shared" si="6"/>
        <v>0.55199999999999994</v>
      </c>
      <c r="F89" s="68">
        <f t="shared" si="7"/>
        <v>1.1288</v>
      </c>
      <c r="G89" s="48">
        <v>13.17</v>
      </c>
      <c r="H89" s="81" t="str">
        <f t="shared" si="8"/>
        <v>sim</v>
      </c>
    </row>
    <row r="90" spans="1:8" s="75" customFormat="1" ht="9.9499999999999993" customHeight="1" x14ac:dyDescent="0.2">
      <c r="A90" s="72"/>
      <c r="B90" s="73"/>
      <c r="C90" s="2"/>
      <c r="D90" s="2"/>
      <c r="E90" s="2"/>
      <c r="F90" s="73"/>
      <c r="G90" s="74"/>
      <c r="H90" s="2"/>
    </row>
    <row r="91" spans="1:8" ht="20.100000000000001" customHeight="1" thickBot="1" x14ac:dyDescent="0.25">
      <c r="A91" s="193" t="s">
        <v>5</v>
      </c>
      <c r="B91" s="193"/>
      <c r="C91" s="193"/>
      <c r="D91" s="193"/>
      <c r="E91" s="193"/>
      <c r="F91" s="193"/>
      <c r="G91" s="193"/>
      <c r="H91" s="193"/>
    </row>
    <row r="92" spans="1:8" s="65" customFormat="1" ht="26.1" customHeight="1" thickBot="1" x14ac:dyDescent="0.25">
      <c r="A92" s="63" t="s">
        <v>28</v>
      </c>
      <c r="B92" s="64" t="s">
        <v>22</v>
      </c>
      <c r="C92" s="63" t="s">
        <v>23</v>
      </c>
      <c r="D92" s="63" t="s">
        <v>29</v>
      </c>
      <c r="E92" s="63" t="s">
        <v>30</v>
      </c>
      <c r="F92" s="63" t="s">
        <v>31</v>
      </c>
      <c r="G92" s="63" t="s">
        <v>32</v>
      </c>
      <c r="H92" s="63" t="s">
        <v>33</v>
      </c>
    </row>
    <row r="93" spans="1:8" ht="12" customHeight="1" x14ac:dyDescent="0.2">
      <c r="A93" s="1">
        <v>1</v>
      </c>
      <c r="B93" s="76">
        <v>225.8</v>
      </c>
      <c r="C93" s="67">
        <v>28</v>
      </c>
      <c r="D93" s="67" t="str">
        <f>IF(B93 &lt; 300,"sim","nao")</f>
        <v>sim</v>
      </c>
      <c r="E93" s="2">
        <f t="shared" ref="E93:E119" si="10">B93/5</f>
        <v>45.160000000000004</v>
      </c>
      <c r="F93" s="68">
        <f t="shared" ref="F93:F119" si="11">1+(14*B93)/300</f>
        <v>11.537333333333335</v>
      </c>
      <c r="G93" s="69">
        <v>5</v>
      </c>
      <c r="H93" s="2" t="str">
        <f t="shared" ref="H93:H119" si="12">IF(AND(G93&gt;=E93,C93&gt;=F93),"sim","não")</f>
        <v>não</v>
      </c>
    </row>
    <row r="94" spans="1:8" ht="12" customHeight="1" x14ac:dyDescent="0.2">
      <c r="A94" s="70">
        <v>2</v>
      </c>
      <c r="B94" s="76">
        <v>224.2</v>
      </c>
      <c r="C94" s="67">
        <v>41</v>
      </c>
      <c r="D94" s="67" t="str">
        <f t="shared" ref="D94:D119" si="13">IF(B94 &lt; 300,"sim","nao")</f>
        <v>sim</v>
      </c>
      <c r="E94" s="2">
        <f t="shared" si="10"/>
        <v>44.839999999999996</v>
      </c>
      <c r="F94" s="68">
        <f t="shared" si="11"/>
        <v>11.462666666666665</v>
      </c>
      <c r="G94" s="69">
        <v>7</v>
      </c>
      <c r="H94" s="2" t="str">
        <f t="shared" si="12"/>
        <v>não</v>
      </c>
    </row>
    <row r="95" spans="1:8" ht="12" customHeight="1" x14ac:dyDescent="0.2">
      <c r="A95" s="70">
        <v>3</v>
      </c>
      <c r="B95" s="76">
        <v>234.8</v>
      </c>
      <c r="C95" s="67">
        <v>47</v>
      </c>
      <c r="D95" s="67" t="str">
        <f t="shared" si="13"/>
        <v>sim</v>
      </c>
      <c r="E95" s="2">
        <f t="shared" si="10"/>
        <v>46.96</v>
      </c>
      <c r="F95" s="68">
        <f t="shared" si="11"/>
        <v>11.957333333333334</v>
      </c>
      <c r="G95" s="69">
        <v>7</v>
      </c>
      <c r="H95" s="2" t="str">
        <f t="shared" si="12"/>
        <v>não</v>
      </c>
    </row>
    <row r="96" spans="1:8" ht="12" customHeight="1" x14ac:dyDescent="0.2">
      <c r="A96" s="70">
        <v>4</v>
      </c>
      <c r="B96" s="48">
        <v>243.9</v>
      </c>
      <c r="C96" s="67">
        <v>35</v>
      </c>
      <c r="D96" s="67" t="str">
        <f t="shared" si="13"/>
        <v>sim</v>
      </c>
      <c r="E96" s="2">
        <f t="shared" si="10"/>
        <v>48.78</v>
      </c>
      <c r="F96" s="68">
        <f t="shared" si="11"/>
        <v>12.382</v>
      </c>
      <c r="G96" s="48">
        <v>7</v>
      </c>
      <c r="H96" s="2" t="str">
        <f t="shared" si="12"/>
        <v>não</v>
      </c>
    </row>
    <row r="97" spans="1:8" ht="12" customHeight="1" x14ac:dyDescent="0.2">
      <c r="A97" s="70">
        <v>5</v>
      </c>
      <c r="B97" s="48">
        <v>150.80000000000001</v>
      </c>
      <c r="C97" s="67">
        <v>14</v>
      </c>
      <c r="D97" s="67" t="str">
        <f t="shared" si="13"/>
        <v>sim</v>
      </c>
      <c r="E97" s="2">
        <f t="shared" si="10"/>
        <v>30.160000000000004</v>
      </c>
      <c r="F97" s="68">
        <f t="shared" si="11"/>
        <v>8.0373333333333346</v>
      </c>
      <c r="G97" s="48">
        <v>5</v>
      </c>
      <c r="H97" s="2" t="str">
        <f t="shared" si="12"/>
        <v>não</v>
      </c>
    </row>
    <row r="98" spans="1:8" ht="12" customHeight="1" x14ac:dyDescent="0.2">
      <c r="A98" s="70">
        <v>6</v>
      </c>
      <c r="B98" s="48">
        <v>293.3</v>
      </c>
      <c r="C98" s="2">
        <v>133</v>
      </c>
      <c r="D98" s="67" t="str">
        <f t="shared" si="13"/>
        <v>sim</v>
      </c>
      <c r="E98" s="2">
        <f t="shared" si="10"/>
        <v>58.660000000000004</v>
      </c>
      <c r="F98" s="68">
        <f t="shared" si="11"/>
        <v>14.687333333333333</v>
      </c>
      <c r="G98" s="48">
        <v>10</v>
      </c>
      <c r="H98" s="2" t="str">
        <f t="shared" si="12"/>
        <v>não</v>
      </c>
    </row>
    <row r="99" spans="1:8" ht="12" customHeight="1" x14ac:dyDescent="0.2">
      <c r="A99" s="70">
        <v>7</v>
      </c>
      <c r="B99" s="48">
        <v>192.8</v>
      </c>
      <c r="C99" s="67">
        <v>78</v>
      </c>
      <c r="D99" s="67" t="str">
        <f t="shared" si="13"/>
        <v>sim</v>
      </c>
      <c r="E99" s="2">
        <f t="shared" si="10"/>
        <v>38.56</v>
      </c>
      <c r="F99" s="68">
        <f t="shared" si="11"/>
        <v>9.9973333333333336</v>
      </c>
      <c r="G99" s="48">
        <v>7</v>
      </c>
      <c r="H99" s="2" t="str">
        <f t="shared" si="12"/>
        <v>não</v>
      </c>
    </row>
    <row r="100" spans="1:8" ht="12" customHeight="1" x14ac:dyDescent="0.2">
      <c r="A100" s="70">
        <v>8</v>
      </c>
      <c r="B100" s="48">
        <v>102.7</v>
      </c>
      <c r="C100" s="67">
        <v>81</v>
      </c>
      <c r="D100" s="67" t="str">
        <f t="shared" si="13"/>
        <v>sim</v>
      </c>
      <c r="E100" s="2">
        <f t="shared" si="10"/>
        <v>20.54</v>
      </c>
      <c r="F100" s="68">
        <f t="shared" si="11"/>
        <v>5.7926666666666664</v>
      </c>
      <c r="G100" s="48">
        <v>10</v>
      </c>
      <c r="H100" s="2" t="str">
        <f t="shared" si="12"/>
        <v>não</v>
      </c>
    </row>
    <row r="101" spans="1:8" ht="12" customHeight="1" x14ac:dyDescent="0.2">
      <c r="A101" s="70">
        <v>9</v>
      </c>
      <c r="B101" s="48">
        <v>224.1</v>
      </c>
      <c r="C101" s="67">
        <v>13</v>
      </c>
      <c r="D101" s="67" t="str">
        <f t="shared" si="13"/>
        <v>sim</v>
      </c>
      <c r="E101" s="2">
        <f t="shared" si="10"/>
        <v>44.82</v>
      </c>
      <c r="F101" s="68">
        <f t="shared" si="11"/>
        <v>11.458</v>
      </c>
      <c r="G101" s="48">
        <v>3</v>
      </c>
      <c r="H101" s="2" t="str">
        <f t="shared" si="12"/>
        <v>não</v>
      </c>
    </row>
    <row r="102" spans="1:8" ht="12" customHeight="1" x14ac:dyDescent="0.2">
      <c r="A102" s="70">
        <v>10</v>
      </c>
      <c r="B102" s="48">
        <v>80.7</v>
      </c>
      <c r="C102" s="67">
        <v>133</v>
      </c>
      <c r="D102" s="67" t="str">
        <f t="shared" si="13"/>
        <v>sim</v>
      </c>
      <c r="E102" s="2">
        <f t="shared" si="10"/>
        <v>16.14</v>
      </c>
      <c r="F102" s="68">
        <f t="shared" si="11"/>
        <v>4.766</v>
      </c>
      <c r="G102" s="48">
        <v>10</v>
      </c>
      <c r="H102" s="2" t="str">
        <f t="shared" si="12"/>
        <v>não</v>
      </c>
    </row>
    <row r="103" spans="1:8" ht="12" customHeight="1" x14ac:dyDescent="0.2">
      <c r="A103" s="70">
        <v>11</v>
      </c>
      <c r="B103" s="48">
        <v>173.8</v>
      </c>
      <c r="C103" s="67">
        <v>210</v>
      </c>
      <c r="D103" s="67" t="str">
        <f t="shared" si="13"/>
        <v>sim</v>
      </c>
      <c r="E103" s="2">
        <f t="shared" si="10"/>
        <v>34.760000000000005</v>
      </c>
      <c r="F103" s="68">
        <f t="shared" si="11"/>
        <v>9.1106666666666669</v>
      </c>
      <c r="G103" s="48">
        <v>10</v>
      </c>
      <c r="H103" s="2" t="str">
        <f t="shared" si="12"/>
        <v>não</v>
      </c>
    </row>
    <row r="104" spans="1:8" ht="12" customHeight="1" x14ac:dyDescent="0.2">
      <c r="A104" s="70">
        <v>12</v>
      </c>
      <c r="B104" s="48">
        <v>170.1</v>
      </c>
      <c r="C104" s="67">
        <v>27</v>
      </c>
      <c r="D104" s="67" t="str">
        <f t="shared" si="13"/>
        <v>sim</v>
      </c>
      <c r="E104" s="2">
        <f t="shared" si="10"/>
        <v>34.019999999999996</v>
      </c>
      <c r="F104" s="68">
        <f t="shared" si="11"/>
        <v>8.9380000000000006</v>
      </c>
      <c r="G104" s="48">
        <v>3</v>
      </c>
      <c r="H104" s="2" t="str">
        <f t="shared" si="12"/>
        <v>não</v>
      </c>
    </row>
    <row r="105" spans="1:8" ht="12" customHeight="1" x14ac:dyDescent="0.2">
      <c r="A105" s="70">
        <v>13</v>
      </c>
      <c r="B105" s="48">
        <v>261.5</v>
      </c>
      <c r="C105" s="67">
        <v>132</v>
      </c>
      <c r="D105" s="67" t="str">
        <f t="shared" si="13"/>
        <v>sim</v>
      </c>
      <c r="E105" s="2">
        <f t="shared" si="10"/>
        <v>52.3</v>
      </c>
      <c r="F105" s="68">
        <f t="shared" si="11"/>
        <v>13.203333333333333</v>
      </c>
      <c r="G105" s="48">
        <v>7</v>
      </c>
      <c r="H105" s="2" t="str">
        <f t="shared" si="12"/>
        <v>não</v>
      </c>
    </row>
    <row r="106" spans="1:8" ht="12" customHeight="1" x14ac:dyDescent="0.2">
      <c r="A106" s="70">
        <v>14</v>
      </c>
      <c r="B106" s="48">
        <v>229.1</v>
      </c>
      <c r="C106" s="67">
        <v>66</v>
      </c>
      <c r="D106" s="67" t="str">
        <f t="shared" si="13"/>
        <v>sim</v>
      </c>
      <c r="E106" s="2">
        <f t="shared" si="10"/>
        <v>45.82</v>
      </c>
      <c r="F106" s="68">
        <f t="shared" si="11"/>
        <v>11.691333333333334</v>
      </c>
      <c r="G106" s="48">
        <v>10</v>
      </c>
      <c r="H106" s="2" t="str">
        <f t="shared" si="12"/>
        <v>não</v>
      </c>
    </row>
    <row r="107" spans="1:8" ht="12" customHeight="1" x14ac:dyDescent="0.2">
      <c r="A107" s="70">
        <v>15</v>
      </c>
      <c r="B107" s="48">
        <v>210.4</v>
      </c>
      <c r="C107" s="67">
        <v>7</v>
      </c>
      <c r="D107" s="67" t="str">
        <f t="shared" si="13"/>
        <v>sim</v>
      </c>
      <c r="E107" s="2">
        <f t="shared" si="10"/>
        <v>42.08</v>
      </c>
      <c r="F107" s="68">
        <f t="shared" si="11"/>
        <v>10.818666666666667</v>
      </c>
      <c r="G107" s="48">
        <v>3</v>
      </c>
      <c r="H107" s="2" t="str">
        <f t="shared" si="12"/>
        <v>não</v>
      </c>
    </row>
    <row r="108" spans="1:8" ht="12" customHeight="1" x14ac:dyDescent="0.2">
      <c r="A108" s="70">
        <v>16</v>
      </c>
      <c r="B108" s="48">
        <v>276.3</v>
      </c>
      <c r="C108" s="67">
        <v>121</v>
      </c>
      <c r="D108" s="67" t="str">
        <f t="shared" si="13"/>
        <v>sim</v>
      </c>
      <c r="E108" s="2">
        <f t="shared" si="10"/>
        <v>55.260000000000005</v>
      </c>
      <c r="F108" s="68">
        <f t="shared" si="11"/>
        <v>13.894</v>
      </c>
      <c r="G108" s="48">
        <v>10</v>
      </c>
      <c r="H108" s="2" t="str">
        <f t="shared" si="12"/>
        <v>não</v>
      </c>
    </row>
    <row r="109" spans="1:8" ht="12" customHeight="1" x14ac:dyDescent="0.2">
      <c r="A109" s="70">
        <v>17</v>
      </c>
      <c r="B109" s="48">
        <v>253.1</v>
      </c>
      <c r="C109" s="67">
        <v>20</v>
      </c>
      <c r="D109" s="67" t="str">
        <f t="shared" si="13"/>
        <v>sim</v>
      </c>
      <c r="E109" s="2">
        <f t="shared" si="10"/>
        <v>50.62</v>
      </c>
      <c r="F109" s="68">
        <f t="shared" si="11"/>
        <v>12.811333333333334</v>
      </c>
      <c r="G109" s="48">
        <v>7</v>
      </c>
      <c r="H109" s="2" t="str">
        <f t="shared" si="12"/>
        <v>não</v>
      </c>
    </row>
    <row r="110" spans="1:8" ht="12" customHeight="1" x14ac:dyDescent="0.2">
      <c r="A110" s="70">
        <v>18</v>
      </c>
      <c r="B110" s="48">
        <v>251.2</v>
      </c>
      <c r="C110" s="67">
        <v>20</v>
      </c>
      <c r="D110" s="67" t="str">
        <f t="shared" si="13"/>
        <v>sim</v>
      </c>
      <c r="E110" s="2">
        <f t="shared" si="10"/>
        <v>50.239999999999995</v>
      </c>
      <c r="F110" s="68">
        <f t="shared" si="11"/>
        <v>12.722666666666665</v>
      </c>
      <c r="G110" s="48">
        <v>7</v>
      </c>
      <c r="H110" s="2" t="str">
        <f t="shared" si="12"/>
        <v>não</v>
      </c>
    </row>
    <row r="111" spans="1:8" ht="12" customHeight="1" x14ac:dyDescent="0.2">
      <c r="A111" s="70">
        <v>19</v>
      </c>
      <c r="B111" s="48">
        <v>261.3</v>
      </c>
      <c r="C111" s="67">
        <v>20</v>
      </c>
      <c r="D111" s="67" t="str">
        <f t="shared" si="13"/>
        <v>sim</v>
      </c>
      <c r="E111" s="2">
        <f t="shared" si="10"/>
        <v>52.260000000000005</v>
      </c>
      <c r="F111" s="68">
        <f t="shared" si="11"/>
        <v>13.194000000000001</v>
      </c>
      <c r="G111" s="48">
        <v>7</v>
      </c>
      <c r="H111" s="2" t="str">
        <f t="shared" si="12"/>
        <v>não</v>
      </c>
    </row>
    <row r="112" spans="1:8" ht="12" customHeight="1" x14ac:dyDescent="0.2">
      <c r="A112" s="70">
        <v>20</v>
      </c>
      <c r="B112" s="48">
        <v>256</v>
      </c>
      <c r="C112" s="67">
        <v>20</v>
      </c>
      <c r="D112" s="67" t="str">
        <f t="shared" si="13"/>
        <v>sim</v>
      </c>
      <c r="E112" s="2">
        <f t="shared" si="10"/>
        <v>51.2</v>
      </c>
      <c r="F112" s="68">
        <f t="shared" si="11"/>
        <v>12.946666666666667</v>
      </c>
      <c r="G112" s="48">
        <v>7</v>
      </c>
      <c r="H112" s="2" t="str">
        <f t="shared" si="12"/>
        <v>não</v>
      </c>
    </row>
    <row r="113" spans="1:8" ht="12" customHeight="1" x14ac:dyDescent="0.2">
      <c r="A113" s="70">
        <v>21</v>
      </c>
      <c r="B113" s="48">
        <v>235.9</v>
      </c>
      <c r="C113" s="67">
        <v>20</v>
      </c>
      <c r="D113" s="67" t="str">
        <f t="shared" si="13"/>
        <v>sim</v>
      </c>
      <c r="E113" s="2">
        <f t="shared" si="10"/>
        <v>47.18</v>
      </c>
      <c r="F113" s="68">
        <f t="shared" si="11"/>
        <v>12.008666666666667</v>
      </c>
      <c r="G113" s="48">
        <v>7</v>
      </c>
      <c r="H113" s="2" t="str">
        <f t="shared" si="12"/>
        <v>não</v>
      </c>
    </row>
    <row r="114" spans="1:8" ht="12" customHeight="1" x14ac:dyDescent="0.2">
      <c r="A114" s="70">
        <v>22</v>
      </c>
      <c r="B114" s="48">
        <v>244.1</v>
      </c>
      <c r="C114" s="67">
        <v>20</v>
      </c>
      <c r="D114" s="67" t="str">
        <f t="shared" si="13"/>
        <v>sim</v>
      </c>
      <c r="E114" s="2">
        <f t="shared" si="10"/>
        <v>48.82</v>
      </c>
      <c r="F114" s="68">
        <f t="shared" si="11"/>
        <v>12.391333333333334</v>
      </c>
      <c r="G114" s="48">
        <v>7</v>
      </c>
      <c r="H114" s="2" t="str">
        <f t="shared" si="12"/>
        <v>não</v>
      </c>
    </row>
    <row r="115" spans="1:8" ht="12" customHeight="1" x14ac:dyDescent="0.2">
      <c r="A115" s="70">
        <v>23</v>
      </c>
      <c r="B115" s="48">
        <v>240</v>
      </c>
      <c r="C115" s="67">
        <v>20</v>
      </c>
      <c r="D115" s="67" t="str">
        <f t="shared" si="13"/>
        <v>sim</v>
      </c>
      <c r="E115" s="2">
        <f t="shared" si="10"/>
        <v>48</v>
      </c>
      <c r="F115" s="68">
        <f t="shared" si="11"/>
        <v>12.2</v>
      </c>
      <c r="G115" s="48">
        <v>7</v>
      </c>
      <c r="H115" s="2" t="str">
        <f t="shared" si="12"/>
        <v>não</v>
      </c>
    </row>
    <row r="116" spans="1:8" ht="12" customHeight="1" x14ac:dyDescent="0.2">
      <c r="A116" s="70">
        <v>24</v>
      </c>
      <c r="B116" s="48">
        <v>243.1</v>
      </c>
      <c r="C116" s="67">
        <v>20</v>
      </c>
      <c r="D116" s="67" t="str">
        <f t="shared" si="13"/>
        <v>sim</v>
      </c>
      <c r="E116" s="2">
        <f t="shared" si="10"/>
        <v>48.62</v>
      </c>
      <c r="F116" s="68">
        <f t="shared" si="11"/>
        <v>12.344666666666667</v>
      </c>
      <c r="G116" s="48">
        <v>7</v>
      </c>
      <c r="H116" s="2" t="str">
        <f t="shared" si="12"/>
        <v>não</v>
      </c>
    </row>
    <row r="117" spans="1:8" ht="12" customHeight="1" x14ac:dyDescent="0.2">
      <c r="A117" s="70">
        <v>25</v>
      </c>
      <c r="B117" s="48">
        <v>231.4</v>
      </c>
      <c r="C117" s="67">
        <v>73</v>
      </c>
      <c r="D117" s="67" t="str">
        <f t="shared" si="13"/>
        <v>sim</v>
      </c>
      <c r="E117" s="2">
        <f t="shared" si="10"/>
        <v>46.28</v>
      </c>
      <c r="F117" s="68">
        <f t="shared" si="11"/>
        <v>11.798666666666666</v>
      </c>
      <c r="G117" s="48">
        <v>7</v>
      </c>
      <c r="H117" s="2" t="str">
        <f t="shared" si="12"/>
        <v>não</v>
      </c>
    </row>
    <row r="118" spans="1:8" ht="12" customHeight="1" x14ac:dyDescent="0.2">
      <c r="A118" s="70">
        <v>26</v>
      </c>
      <c r="B118" s="48">
        <v>230</v>
      </c>
      <c r="C118" s="67">
        <v>75</v>
      </c>
      <c r="D118" s="67" t="str">
        <f t="shared" si="13"/>
        <v>sim</v>
      </c>
      <c r="E118" s="2">
        <f t="shared" si="10"/>
        <v>46</v>
      </c>
      <c r="F118" s="68">
        <f t="shared" si="11"/>
        <v>11.733333333333333</v>
      </c>
      <c r="G118" s="48">
        <v>7</v>
      </c>
      <c r="H118" s="2" t="str">
        <f t="shared" si="12"/>
        <v>não</v>
      </c>
    </row>
    <row r="119" spans="1:8" ht="30" customHeight="1" x14ac:dyDescent="0.2">
      <c r="A119" s="71" t="s">
        <v>39</v>
      </c>
      <c r="B119" s="68">
        <v>7.17</v>
      </c>
      <c r="C119" s="67">
        <f>90.24+15.06</f>
        <v>105.3</v>
      </c>
      <c r="D119" s="67" t="str">
        <f t="shared" si="13"/>
        <v>sim</v>
      </c>
      <c r="E119" s="2">
        <f t="shared" si="10"/>
        <v>1.4339999999999999</v>
      </c>
      <c r="F119" s="68">
        <f t="shared" si="11"/>
        <v>1.3346</v>
      </c>
      <c r="G119" s="48">
        <v>13.17</v>
      </c>
      <c r="H119" s="81" t="str">
        <f t="shared" si="12"/>
        <v>sim</v>
      </c>
    </row>
    <row r="120" spans="1:8" s="75" customFormat="1" ht="9.9499999999999993" customHeight="1" x14ac:dyDescent="0.2">
      <c r="A120" s="72"/>
      <c r="B120" s="73"/>
      <c r="C120" s="2"/>
      <c r="D120" s="2"/>
      <c r="E120" s="2"/>
      <c r="F120" s="73"/>
      <c r="G120" s="74"/>
      <c r="H120" s="2"/>
    </row>
    <row r="121" spans="1:8" ht="20.100000000000001" customHeight="1" thickBot="1" x14ac:dyDescent="0.25">
      <c r="A121" s="193" t="s">
        <v>102</v>
      </c>
      <c r="B121" s="193"/>
      <c r="C121" s="193"/>
      <c r="D121" s="193"/>
      <c r="E121" s="193"/>
      <c r="F121" s="193"/>
      <c r="G121" s="193"/>
      <c r="H121" s="193"/>
    </row>
    <row r="122" spans="1:8" s="65" customFormat="1" ht="26.1" customHeight="1" thickBot="1" x14ac:dyDescent="0.25">
      <c r="A122" s="63" t="s">
        <v>28</v>
      </c>
      <c r="B122" s="64" t="s">
        <v>22</v>
      </c>
      <c r="C122" s="63" t="s">
        <v>23</v>
      </c>
      <c r="D122" s="63" t="s">
        <v>29</v>
      </c>
      <c r="E122" s="63" t="s">
        <v>30</v>
      </c>
      <c r="F122" s="63" t="s">
        <v>31</v>
      </c>
      <c r="G122" s="63" t="s">
        <v>32</v>
      </c>
      <c r="H122" s="63" t="s">
        <v>33</v>
      </c>
    </row>
    <row r="123" spans="1:8" ht="12" customHeight="1" x14ac:dyDescent="0.2">
      <c r="A123" s="1">
        <v>1</v>
      </c>
      <c r="B123" s="76">
        <v>203.9</v>
      </c>
      <c r="C123" s="67">
        <v>28</v>
      </c>
      <c r="D123" s="67" t="str">
        <f>IF(B123 &lt; 300,"sim","nao")</f>
        <v>sim</v>
      </c>
      <c r="E123" s="2">
        <f t="shared" ref="E123:E149" si="14">B123/5</f>
        <v>40.78</v>
      </c>
      <c r="F123" s="68">
        <f t="shared" ref="F123:F149" si="15">1+(14*B123)/300</f>
        <v>10.515333333333333</v>
      </c>
      <c r="G123" s="69">
        <v>5</v>
      </c>
      <c r="H123" s="2" t="str">
        <f t="shared" ref="H123:H149" si="16">IF(AND(G123&gt;=E123,C123&gt;=F123),"sim","não")</f>
        <v>não</v>
      </c>
    </row>
    <row r="124" spans="1:8" ht="12" customHeight="1" x14ac:dyDescent="0.2">
      <c r="A124" s="70">
        <v>2</v>
      </c>
      <c r="B124" s="76">
        <v>196.3</v>
      </c>
      <c r="C124" s="67">
        <v>41</v>
      </c>
      <c r="D124" s="67" t="str">
        <f t="shared" ref="D124:D149" si="17">IF(B124 &lt; 300,"sim","nao")</f>
        <v>sim</v>
      </c>
      <c r="E124" s="2">
        <f t="shared" si="14"/>
        <v>39.260000000000005</v>
      </c>
      <c r="F124" s="68">
        <f t="shared" si="15"/>
        <v>10.160666666666668</v>
      </c>
      <c r="G124" s="69">
        <v>7</v>
      </c>
      <c r="H124" s="2" t="str">
        <f t="shared" si="16"/>
        <v>não</v>
      </c>
    </row>
    <row r="125" spans="1:8" ht="12" customHeight="1" x14ac:dyDescent="0.2">
      <c r="A125" s="70">
        <v>3</v>
      </c>
      <c r="B125" s="76">
        <v>213.4</v>
      </c>
      <c r="C125" s="67">
        <v>47</v>
      </c>
      <c r="D125" s="67" t="str">
        <f t="shared" si="17"/>
        <v>sim</v>
      </c>
      <c r="E125" s="2">
        <f t="shared" si="14"/>
        <v>42.68</v>
      </c>
      <c r="F125" s="68">
        <f t="shared" si="15"/>
        <v>10.958666666666666</v>
      </c>
      <c r="G125" s="69">
        <v>7</v>
      </c>
      <c r="H125" s="2" t="str">
        <f t="shared" si="16"/>
        <v>não</v>
      </c>
    </row>
    <row r="126" spans="1:8" ht="12" customHeight="1" x14ac:dyDescent="0.2">
      <c r="A126" s="70">
        <v>4</v>
      </c>
      <c r="B126" s="48">
        <v>262</v>
      </c>
      <c r="C126" s="67">
        <v>35</v>
      </c>
      <c r="D126" s="67" t="str">
        <f t="shared" si="17"/>
        <v>sim</v>
      </c>
      <c r="E126" s="2">
        <f t="shared" si="14"/>
        <v>52.4</v>
      </c>
      <c r="F126" s="68">
        <f t="shared" si="15"/>
        <v>13.226666666666667</v>
      </c>
      <c r="G126" s="48">
        <v>7</v>
      </c>
      <c r="H126" s="2" t="str">
        <f t="shared" si="16"/>
        <v>não</v>
      </c>
    </row>
    <row r="127" spans="1:8" ht="12" customHeight="1" x14ac:dyDescent="0.2">
      <c r="A127" s="70">
        <v>5</v>
      </c>
      <c r="B127" s="48">
        <v>121.6</v>
      </c>
      <c r="C127" s="67">
        <v>14</v>
      </c>
      <c r="D127" s="67" t="str">
        <f t="shared" si="17"/>
        <v>sim</v>
      </c>
      <c r="E127" s="2">
        <f t="shared" si="14"/>
        <v>24.32</v>
      </c>
      <c r="F127" s="68">
        <f t="shared" si="15"/>
        <v>6.6746666666666661</v>
      </c>
      <c r="G127" s="48">
        <v>5</v>
      </c>
      <c r="H127" s="2" t="str">
        <f t="shared" si="16"/>
        <v>não</v>
      </c>
    </row>
    <row r="128" spans="1:8" ht="12" customHeight="1" x14ac:dyDescent="0.2">
      <c r="A128" s="70">
        <v>6</v>
      </c>
      <c r="B128" s="48">
        <v>313.7</v>
      </c>
      <c r="C128" s="2">
        <v>133</v>
      </c>
      <c r="D128" s="67" t="str">
        <f t="shared" si="17"/>
        <v>nao</v>
      </c>
      <c r="E128" s="2">
        <f t="shared" si="14"/>
        <v>62.739999999999995</v>
      </c>
      <c r="F128" s="68">
        <f t="shared" si="15"/>
        <v>15.639333333333333</v>
      </c>
      <c r="G128" s="48">
        <v>10</v>
      </c>
      <c r="H128" s="2" t="str">
        <f t="shared" si="16"/>
        <v>não</v>
      </c>
    </row>
    <row r="129" spans="1:8" ht="12" customHeight="1" x14ac:dyDescent="0.2">
      <c r="A129" s="70">
        <v>7</v>
      </c>
      <c r="B129" s="48">
        <v>191.1</v>
      </c>
      <c r="C129" s="67">
        <v>78</v>
      </c>
      <c r="D129" s="67" t="str">
        <f t="shared" si="17"/>
        <v>sim</v>
      </c>
      <c r="E129" s="2">
        <f t="shared" si="14"/>
        <v>38.22</v>
      </c>
      <c r="F129" s="68">
        <f t="shared" si="15"/>
        <v>9.918000000000001</v>
      </c>
      <c r="G129" s="48">
        <v>7</v>
      </c>
      <c r="H129" s="2" t="str">
        <f t="shared" si="16"/>
        <v>não</v>
      </c>
    </row>
    <row r="130" spans="1:8" ht="12" customHeight="1" x14ac:dyDescent="0.2">
      <c r="A130" s="70">
        <v>8</v>
      </c>
      <c r="B130" s="48">
        <v>126.8</v>
      </c>
      <c r="C130" s="67">
        <v>81</v>
      </c>
      <c r="D130" s="67" t="str">
        <f t="shared" si="17"/>
        <v>sim</v>
      </c>
      <c r="E130" s="2">
        <f t="shared" si="14"/>
        <v>25.36</v>
      </c>
      <c r="F130" s="68">
        <f t="shared" si="15"/>
        <v>6.9173333333333336</v>
      </c>
      <c r="G130" s="48">
        <v>10</v>
      </c>
      <c r="H130" s="2" t="str">
        <f t="shared" si="16"/>
        <v>não</v>
      </c>
    </row>
    <row r="131" spans="1:8" ht="12" customHeight="1" x14ac:dyDescent="0.2">
      <c r="A131" s="70">
        <v>9</v>
      </c>
      <c r="B131" s="48">
        <v>231.1</v>
      </c>
      <c r="C131" s="67">
        <v>13</v>
      </c>
      <c r="D131" s="67" t="str">
        <f t="shared" si="17"/>
        <v>sim</v>
      </c>
      <c r="E131" s="2">
        <f t="shared" si="14"/>
        <v>46.22</v>
      </c>
      <c r="F131" s="68">
        <f t="shared" si="15"/>
        <v>11.784666666666666</v>
      </c>
      <c r="G131" s="48">
        <v>3</v>
      </c>
      <c r="H131" s="2" t="str">
        <f t="shared" si="16"/>
        <v>não</v>
      </c>
    </row>
    <row r="132" spans="1:8" ht="12" customHeight="1" x14ac:dyDescent="0.2">
      <c r="A132" s="70">
        <v>10</v>
      </c>
      <c r="B132" s="48">
        <v>72.5</v>
      </c>
      <c r="C132" s="67">
        <v>133</v>
      </c>
      <c r="D132" s="67" t="str">
        <f t="shared" si="17"/>
        <v>sim</v>
      </c>
      <c r="E132" s="2">
        <f t="shared" si="14"/>
        <v>14.5</v>
      </c>
      <c r="F132" s="68">
        <f t="shared" si="15"/>
        <v>4.3833333333333329</v>
      </c>
      <c r="G132" s="48">
        <v>10</v>
      </c>
      <c r="H132" s="2" t="str">
        <f t="shared" si="16"/>
        <v>não</v>
      </c>
    </row>
    <row r="133" spans="1:8" ht="12" customHeight="1" x14ac:dyDescent="0.2">
      <c r="A133" s="70">
        <v>11</v>
      </c>
      <c r="B133" s="48">
        <v>150.6</v>
      </c>
      <c r="C133" s="67">
        <v>210</v>
      </c>
      <c r="D133" s="67" t="str">
        <f t="shared" si="17"/>
        <v>sim</v>
      </c>
      <c r="E133" s="2">
        <f t="shared" si="14"/>
        <v>30.119999999999997</v>
      </c>
      <c r="F133" s="68">
        <f t="shared" si="15"/>
        <v>8.0280000000000005</v>
      </c>
      <c r="G133" s="48">
        <v>10</v>
      </c>
      <c r="H133" s="2" t="str">
        <f t="shared" si="16"/>
        <v>não</v>
      </c>
    </row>
    <row r="134" spans="1:8" ht="12" customHeight="1" x14ac:dyDescent="0.2">
      <c r="A134" s="70">
        <v>12</v>
      </c>
      <c r="B134" s="48">
        <v>128.4</v>
      </c>
      <c r="C134" s="67">
        <v>27</v>
      </c>
      <c r="D134" s="67" t="str">
        <f t="shared" si="17"/>
        <v>sim</v>
      </c>
      <c r="E134" s="2">
        <f t="shared" si="14"/>
        <v>25.68</v>
      </c>
      <c r="F134" s="68">
        <f t="shared" si="15"/>
        <v>6.9920000000000009</v>
      </c>
      <c r="G134" s="48">
        <v>3</v>
      </c>
      <c r="H134" s="2" t="str">
        <f t="shared" si="16"/>
        <v>não</v>
      </c>
    </row>
    <row r="135" spans="1:8" ht="12" customHeight="1" x14ac:dyDescent="0.2">
      <c r="A135" s="70">
        <v>13</v>
      </c>
      <c r="B135" s="48">
        <v>227.7</v>
      </c>
      <c r="C135" s="67">
        <v>132</v>
      </c>
      <c r="D135" s="67" t="str">
        <f t="shared" si="17"/>
        <v>sim</v>
      </c>
      <c r="E135" s="2">
        <f t="shared" si="14"/>
        <v>45.54</v>
      </c>
      <c r="F135" s="68">
        <f t="shared" si="15"/>
        <v>11.625999999999999</v>
      </c>
      <c r="G135" s="48">
        <v>7</v>
      </c>
      <c r="H135" s="2" t="str">
        <f t="shared" si="16"/>
        <v>não</v>
      </c>
    </row>
    <row r="136" spans="1:8" ht="12" customHeight="1" x14ac:dyDescent="0.2">
      <c r="A136" s="70">
        <v>14</v>
      </c>
      <c r="B136" s="48">
        <v>200.6</v>
      </c>
      <c r="C136" s="67">
        <v>66</v>
      </c>
      <c r="D136" s="67" t="str">
        <f t="shared" si="17"/>
        <v>sim</v>
      </c>
      <c r="E136" s="2">
        <f t="shared" si="14"/>
        <v>40.119999999999997</v>
      </c>
      <c r="F136" s="68">
        <f t="shared" si="15"/>
        <v>10.361333333333334</v>
      </c>
      <c r="G136" s="48">
        <v>10</v>
      </c>
      <c r="H136" s="2" t="str">
        <f t="shared" si="16"/>
        <v>não</v>
      </c>
    </row>
    <row r="137" spans="1:8" ht="12" customHeight="1" x14ac:dyDescent="0.2">
      <c r="A137" s="70">
        <v>15</v>
      </c>
      <c r="B137" s="48">
        <v>168.4</v>
      </c>
      <c r="C137" s="67">
        <v>7</v>
      </c>
      <c r="D137" s="67" t="str">
        <f t="shared" si="17"/>
        <v>sim</v>
      </c>
      <c r="E137" s="2">
        <f t="shared" si="14"/>
        <v>33.68</v>
      </c>
      <c r="F137" s="68">
        <f t="shared" si="15"/>
        <v>8.8586666666666662</v>
      </c>
      <c r="G137" s="48">
        <v>3</v>
      </c>
      <c r="H137" s="2" t="str">
        <f t="shared" si="16"/>
        <v>não</v>
      </c>
    </row>
    <row r="138" spans="1:8" ht="12" customHeight="1" x14ac:dyDescent="0.2">
      <c r="A138" s="70">
        <v>16</v>
      </c>
      <c r="B138" s="48">
        <v>255</v>
      </c>
      <c r="C138" s="67">
        <v>121</v>
      </c>
      <c r="D138" s="67" t="str">
        <f t="shared" si="17"/>
        <v>sim</v>
      </c>
      <c r="E138" s="2">
        <f t="shared" si="14"/>
        <v>51</v>
      </c>
      <c r="F138" s="68">
        <f t="shared" si="15"/>
        <v>12.9</v>
      </c>
      <c r="G138" s="48">
        <v>10</v>
      </c>
      <c r="H138" s="2" t="str">
        <f t="shared" si="16"/>
        <v>não</v>
      </c>
    </row>
    <row r="139" spans="1:8" ht="12" customHeight="1" x14ac:dyDescent="0.2">
      <c r="A139" s="70">
        <v>17</v>
      </c>
      <c r="B139" s="48">
        <v>234.3</v>
      </c>
      <c r="C139" s="67">
        <v>20</v>
      </c>
      <c r="D139" s="67" t="str">
        <f t="shared" si="17"/>
        <v>sim</v>
      </c>
      <c r="E139" s="2">
        <f t="shared" si="14"/>
        <v>46.86</v>
      </c>
      <c r="F139" s="68">
        <f t="shared" si="15"/>
        <v>11.934000000000001</v>
      </c>
      <c r="G139" s="48">
        <v>7</v>
      </c>
      <c r="H139" s="2" t="str">
        <f t="shared" si="16"/>
        <v>não</v>
      </c>
    </row>
    <row r="140" spans="1:8" ht="12" customHeight="1" x14ac:dyDescent="0.2">
      <c r="A140" s="70">
        <v>18</v>
      </c>
      <c r="B140" s="48">
        <v>229.4</v>
      </c>
      <c r="C140" s="67">
        <v>20</v>
      </c>
      <c r="D140" s="67" t="str">
        <f t="shared" si="17"/>
        <v>sim</v>
      </c>
      <c r="E140" s="2">
        <f t="shared" si="14"/>
        <v>45.88</v>
      </c>
      <c r="F140" s="68">
        <f t="shared" si="15"/>
        <v>11.705333333333334</v>
      </c>
      <c r="G140" s="48">
        <v>7</v>
      </c>
      <c r="H140" s="2" t="str">
        <f t="shared" si="16"/>
        <v>não</v>
      </c>
    </row>
    <row r="141" spans="1:8" ht="12" customHeight="1" x14ac:dyDescent="0.2">
      <c r="A141" s="70">
        <v>19</v>
      </c>
      <c r="B141" s="48">
        <v>248.8</v>
      </c>
      <c r="C141" s="67">
        <v>20</v>
      </c>
      <c r="D141" s="67" t="str">
        <f t="shared" si="17"/>
        <v>sim</v>
      </c>
      <c r="E141" s="2">
        <f t="shared" si="14"/>
        <v>49.760000000000005</v>
      </c>
      <c r="F141" s="68">
        <f t="shared" si="15"/>
        <v>12.610666666666667</v>
      </c>
      <c r="G141" s="48">
        <v>7</v>
      </c>
      <c r="H141" s="2" t="str">
        <f t="shared" si="16"/>
        <v>não</v>
      </c>
    </row>
    <row r="142" spans="1:8" ht="12" customHeight="1" x14ac:dyDescent="0.2">
      <c r="A142" s="70">
        <v>20</v>
      </c>
      <c r="B142" s="48">
        <v>240.3</v>
      </c>
      <c r="C142" s="67">
        <v>20</v>
      </c>
      <c r="D142" s="67" t="str">
        <f t="shared" si="17"/>
        <v>sim</v>
      </c>
      <c r="E142" s="2">
        <f t="shared" si="14"/>
        <v>48.06</v>
      </c>
      <c r="F142" s="68">
        <f t="shared" si="15"/>
        <v>12.214</v>
      </c>
      <c r="G142" s="48">
        <v>7</v>
      </c>
      <c r="H142" s="2" t="str">
        <f t="shared" si="16"/>
        <v>não</v>
      </c>
    </row>
    <row r="143" spans="1:8" ht="12" customHeight="1" x14ac:dyDescent="0.2">
      <c r="A143" s="70">
        <v>21</v>
      </c>
      <c r="B143" s="48">
        <v>217.8</v>
      </c>
      <c r="C143" s="67">
        <v>20</v>
      </c>
      <c r="D143" s="67" t="str">
        <f t="shared" si="17"/>
        <v>sim</v>
      </c>
      <c r="E143" s="2">
        <f t="shared" si="14"/>
        <v>43.56</v>
      </c>
      <c r="F143" s="68">
        <f t="shared" si="15"/>
        <v>11.164000000000001</v>
      </c>
      <c r="G143" s="48">
        <v>7</v>
      </c>
      <c r="H143" s="2" t="str">
        <f t="shared" si="16"/>
        <v>não</v>
      </c>
    </row>
    <row r="144" spans="1:8" ht="12" customHeight="1" x14ac:dyDescent="0.2">
      <c r="A144" s="70">
        <v>22</v>
      </c>
      <c r="B144" s="48">
        <v>232.6</v>
      </c>
      <c r="C144" s="67">
        <v>20</v>
      </c>
      <c r="D144" s="67" t="str">
        <f t="shared" si="17"/>
        <v>sim</v>
      </c>
      <c r="E144" s="2">
        <f t="shared" si="14"/>
        <v>46.519999999999996</v>
      </c>
      <c r="F144" s="68">
        <f t="shared" si="15"/>
        <v>11.854666666666667</v>
      </c>
      <c r="G144" s="48">
        <v>7</v>
      </c>
      <c r="H144" s="2" t="str">
        <f t="shared" si="16"/>
        <v>não</v>
      </c>
    </row>
    <row r="145" spans="1:8" ht="12" customHeight="1" x14ac:dyDescent="0.2">
      <c r="A145" s="70">
        <v>23</v>
      </c>
      <c r="B145" s="48">
        <v>225.1</v>
      </c>
      <c r="C145" s="67">
        <v>20</v>
      </c>
      <c r="D145" s="67" t="str">
        <f t="shared" si="17"/>
        <v>sim</v>
      </c>
      <c r="E145" s="2">
        <f t="shared" si="14"/>
        <v>45.019999999999996</v>
      </c>
      <c r="F145" s="68">
        <f t="shared" si="15"/>
        <v>11.504666666666667</v>
      </c>
      <c r="G145" s="48">
        <v>7</v>
      </c>
      <c r="H145" s="2" t="str">
        <f t="shared" si="16"/>
        <v>não</v>
      </c>
    </row>
    <row r="146" spans="1:8" ht="12" customHeight="1" x14ac:dyDescent="0.2">
      <c r="A146" s="70">
        <v>24</v>
      </c>
      <c r="B146" s="48">
        <v>204.2</v>
      </c>
      <c r="C146" s="67">
        <v>20</v>
      </c>
      <c r="D146" s="67" t="str">
        <f t="shared" si="17"/>
        <v>sim</v>
      </c>
      <c r="E146" s="2">
        <f t="shared" si="14"/>
        <v>40.839999999999996</v>
      </c>
      <c r="F146" s="68">
        <f t="shared" si="15"/>
        <v>10.529333333333332</v>
      </c>
      <c r="G146" s="48">
        <v>7</v>
      </c>
      <c r="H146" s="2" t="str">
        <f t="shared" si="16"/>
        <v>não</v>
      </c>
    </row>
    <row r="147" spans="1:8" ht="12" customHeight="1" x14ac:dyDescent="0.2">
      <c r="A147" s="70">
        <v>25</v>
      </c>
      <c r="B147" s="48">
        <v>194.7</v>
      </c>
      <c r="C147" s="67">
        <v>73</v>
      </c>
      <c r="D147" s="67" t="str">
        <f t="shared" si="17"/>
        <v>sim</v>
      </c>
      <c r="E147" s="2">
        <f t="shared" si="14"/>
        <v>38.94</v>
      </c>
      <c r="F147" s="68">
        <f t="shared" si="15"/>
        <v>10.085999999999999</v>
      </c>
      <c r="G147" s="48">
        <v>7</v>
      </c>
      <c r="H147" s="2" t="str">
        <f t="shared" si="16"/>
        <v>não</v>
      </c>
    </row>
    <row r="148" spans="1:8" ht="12" customHeight="1" x14ac:dyDescent="0.2">
      <c r="A148" s="70">
        <v>26</v>
      </c>
      <c r="B148" s="48">
        <v>196.4</v>
      </c>
      <c r="C148" s="67">
        <v>75</v>
      </c>
      <c r="D148" s="67" t="str">
        <f t="shared" si="17"/>
        <v>sim</v>
      </c>
      <c r="E148" s="2">
        <f t="shared" si="14"/>
        <v>39.28</v>
      </c>
      <c r="F148" s="68">
        <f t="shared" si="15"/>
        <v>10.165333333333333</v>
      </c>
      <c r="G148" s="48">
        <v>7</v>
      </c>
      <c r="H148" s="2" t="str">
        <f t="shared" si="16"/>
        <v>não</v>
      </c>
    </row>
    <row r="149" spans="1:8" ht="30" customHeight="1" x14ac:dyDescent="0.2">
      <c r="A149" s="71" t="s">
        <v>39</v>
      </c>
      <c r="B149" s="73">
        <v>31.18</v>
      </c>
      <c r="C149" s="67">
        <f>90.24+15.06</f>
        <v>105.3</v>
      </c>
      <c r="D149" s="67" t="str">
        <f t="shared" si="17"/>
        <v>sim</v>
      </c>
      <c r="E149" s="2">
        <f t="shared" si="14"/>
        <v>6.2359999999999998</v>
      </c>
      <c r="F149" s="68">
        <f t="shared" si="15"/>
        <v>2.4550666666666663</v>
      </c>
      <c r="G149" s="48">
        <v>13.17</v>
      </c>
      <c r="H149" s="81" t="str">
        <f t="shared" si="16"/>
        <v>sim</v>
      </c>
    </row>
    <row r="150" spans="1:8" s="75" customFormat="1" ht="9.9499999999999993" customHeight="1" x14ac:dyDescent="0.2">
      <c r="A150" s="72"/>
      <c r="B150" s="73"/>
      <c r="C150" s="2"/>
      <c r="D150" s="2"/>
      <c r="E150" s="2"/>
      <c r="F150" s="73"/>
      <c r="G150" s="74"/>
      <c r="H150" s="2"/>
    </row>
    <row r="151" spans="1:8" ht="20.100000000000001" customHeight="1" thickBot="1" x14ac:dyDescent="0.25">
      <c r="A151" s="193" t="s">
        <v>103</v>
      </c>
      <c r="B151" s="193"/>
      <c r="C151" s="193"/>
      <c r="D151" s="193"/>
      <c r="E151" s="193"/>
      <c r="F151" s="193"/>
      <c r="G151" s="193"/>
      <c r="H151" s="193"/>
    </row>
    <row r="152" spans="1:8" s="65" customFormat="1" ht="26.1" customHeight="1" thickBot="1" x14ac:dyDescent="0.25">
      <c r="A152" s="63" t="s">
        <v>28</v>
      </c>
      <c r="B152" s="64" t="s">
        <v>22</v>
      </c>
      <c r="C152" s="63" t="s">
        <v>23</v>
      </c>
      <c r="D152" s="63" t="s">
        <v>29</v>
      </c>
      <c r="E152" s="63" t="s">
        <v>30</v>
      </c>
      <c r="F152" s="63" t="s">
        <v>31</v>
      </c>
      <c r="G152" s="63" t="s">
        <v>32</v>
      </c>
      <c r="H152" s="63" t="s">
        <v>33</v>
      </c>
    </row>
    <row r="153" spans="1:8" ht="12" customHeight="1" x14ac:dyDescent="0.2">
      <c r="A153" s="1">
        <v>1</v>
      </c>
      <c r="B153" s="76">
        <v>209.2</v>
      </c>
      <c r="C153" s="67">
        <v>28</v>
      </c>
      <c r="D153" s="67" t="str">
        <f>IF(B153 &lt; 300,"sim","nao")</f>
        <v>sim</v>
      </c>
      <c r="E153" s="2">
        <f t="shared" ref="E153:E179" si="18">B153/5</f>
        <v>41.839999999999996</v>
      </c>
      <c r="F153" s="68">
        <f t="shared" ref="F153:F179" si="19">1+(14*B153)/300</f>
        <v>10.762666666666666</v>
      </c>
      <c r="G153" s="69">
        <v>5</v>
      </c>
      <c r="H153" s="2" t="str">
        <f t="shared" ref="H153:H179" si="20">IF(AND(G153&gt;=E153,C153&gt;=F153),"sim","não")</f>
        <v>não</v>
      </c>
    </row>
    <row r="154" spans="1:8" ht="12" customHeight="1" x14ac:dyDescent="0.2">
      <c r="A154" s="70">
        <v>2</v>
      </c>
      <c r="B154" s="76">
        <v>201.8</v>
      </c>
      <c r="C154" s="67">
        <v>41</v>
      </c>
      <c r="D154" s="67" t="str">
        <f t="shared" ref="D154:D179" si="21">IF(B154 &lt; 300,"sim","nao")</f>
        <v>sim</v>
      </c>
      <c r="E154" s="2">
        <f t="shared" si="18"/>
        <v>40.36</v>
      </c>
      <c r="F154" s="68">
        <f t="shared" si="19"/>
        <v>10.417333333333334</v>
      </c>
      <c r="G154" s="69">
        <v>7</v>
      </c>
      <c r="H154" s="2" t="str">
        <f t="shared" si="20"/>
        <v>não</v>
      </c>
    </row>
    <row r="155" spans="1:8" ht="12" customHeight="1" x14ac:dyDescent="0.2">
      <c r="A155" s="70">
        <v>3</v>
      </c>
      <c r="B155" s="76">
        <v>211.4</v>
      </c>
      <c r="C155" s="67">
        <v>47</v>
      </c>
      <c r="D155" s="67" t="str">
        <f t="shared" si="21"/>
        <v>sim</v>
      </c>
      <c r="E155" s="2">
        <f t="shared" si="18"/>
        <v>42.28</v>
      </c>
      <c r="F155" s="68">
        <f t="shared" si="19"/>
        <v>10.865333333333332</v>
      </c>
      <c r="G155" s="69">
        <v>7</v>
      </c>
      <c r="H155" s="2" t="str">
        <f t="shared" si="20"/>
        <v>não</v>
      </c>
    </row>
    <row r="156" spans="1:8" ht="12" customHeight="1" x14ac:dyDescent="0.2">
      <c r="A156" s="70">
        <v>4</v>
      </c>
      <c r="B156" s="48">
        <v>263.8</v>
      </c>
      <c r="C156" s="67">
        <v>35</v>
      </c>
      <c r="D156" s="67" t="str">
        <f t="shared" si="21"/>
        <v>sim</v>
      </c>
      <c r="E156" s="2">
        <f t="shared" si="18"/>
        <v>52.760000000000005</v>
      </c>
      <c r="F156" s="68">
        <f t="shared" si="19"/>
        <v>13.310666666666668</v>
      </c>
      <c r="G156" s="48">
        <v>7</v>
      </c>
      <c r="H156" s="2" t="str">
        <f t="shared" si="20"/>
        <v>não</v>
      </c>
    </row>
    <row r="157" spans="1:8" ht="12" customHeight="1" x14ac:dyDescent="0.2">
      <c r="A157" s="70">
        <v>5</v>
      </c>
      <c r="B157" s="48">
        <v>127</v>
      </c>
      <c r="C157" s="67">
        <v>14</v>
      </c>
      <c r="D157" s="67" t="str">
        <f t="shared" si="21"/>
        <v>sim</v>
      </c>
      <c r="E157" s="2">
        <f t="shared" si="18"/>
        <v>25.4</v>
      </c>
      <c r="F157" s="68">
        <f t="shared" si="19"/>
        <v>6.9266666666666667</v>
      </c>
      <c r="G157" s="48">
        <v>5</v>
      </c>
      <c r="H157" s="2" t="str">
        <f t="shared" si="20"/>
        <v>não</v>
      </c>
    </row>
    <row r="158" spans="1:8" ht="12" customHeight="1" x14ac:dyDescent="0.2">
      <c r="A158" s="70">
        <v>6</v>
      </c>
      <c r="B158" s="48">
        <v>315.3</v>
      </c>
      <c r="C158" s="2">
        <v>133</v>
      </c>
      <c r="D158" s="67" t="str">
        <f t="shared" si="21"/>
        <v>nao</v>
      </c>
      <c r="E158" s="2">
        <f t="shared" si="18"/>
        <v>63.06</v>
      </c>
      <c r="F158" s="68">
        <f t="shared" si="19"/>
        <v>15.713999999999999</v>
      </c>
      <c r="G158" s="48">
        <v>10</v>
      </c>
      <c r="H158" s="2" t="str">
        <f t="shared" si="20"/>
        <v>não</v>
      </c>
    </row>
    <row r="159" spans="1:8" ht="12" customHeight="1" x14ac:dyDescent="0.2">
      <c r="A159" s="70">
        <v>7</v>
      </c>
      <c r="B159" s="48">
        <v>195</v>
      </c>
      <c r="C159" s="67">
        <v>78</v>
      </c>
      <c r="D159" s="67" t="str">
        <f t="shared" si="21"/>
        <v>sim</v>
      </c>
      <c r="E159" s="2">
        <f t="shared" si="18"/>
        <v>39</v>
      </c>
      <c r="F159" s="68">
        <f t="shared" si="19"/>
        <v>10.1</v>
      </c>
      <c r="G159" s="48">
        <v>7</v>
      </c>
      <c r="H159" s="2" t="str">
        <f t="shared" si="20"/>
        <v>não</v>
      </c>
    </row>
    <row r="160" spans="1:8" ht="12" customHeight="1" x14ac:dyDescent="0.2">
      <c r="A160" s="70">
        <v>8</v>
      </c>
      <c r="B160" s="48">
        <v>127.5</v>
      </c>
      <c r="C160" s="67">
        <v>81</v>
      </c>
      <c r="D160" s="67" t="str">
        <f t="shared" si="21"/>
        <v>sim</v>
      </c>
      <c r="E160" s="2">
        <f t="shared" si="18"/>
        <v>25.5</v>
      </c>
      <c r="F160" s="68">
        <f t="shared" si="19"/>
        <v>6.95</v>
      </c>
      <c r="G160" s="48">
        <v>10</v>
      </c>
      <c r="H160" s="2" t="str">
        <f t="shared" si="20"/>
        <v>não</v>
      </c>
    </row>
    <row r="161" spans="1:8" ht="12" customHeight="1" x14ac:dyDescent="0.2">
      <c r="A161" s="70">
        <v>9</v>
      </c>
      <c r="B161" s="48">
        <v>234.2</v>
      </c>
      <c r="C161" s="67">
        <v>13</v>
      </c>
      <c r="D161" s="67" t="str">
        <f t="shared" si="21"/>
        <v>sim</v>
      </c>
      <c r="E161" s="2">
        <f t="shared" si="18"/>
        <v>46.839999999999996</v>
      </c>
      <c r="F161" s="68">
        <f t="shared" si="19"/>
        <v>11.929333333333332</v>
      </c>
      <c r="G161" s="48">
        <v>3</v>
      </c>
      <c r="H161" s="2" t="str">
        <f t="shared" si="20"/>
        <v>não</v>
      </c>
    </row>
    <row r="162" spans="1:8" ht="12" customHeight="1" x14ac:dyDescent="0.2">
      <c r="A162" s="70">
        <v>10</v>
      </c>
      <c r="B162" s="48">
        <v>76.400000000000006</v>
      </c>
      <c r="C162" s="67">
        <v>133</v>
      </c>
      <c r="D162" s="67" t="str">
        <f t="shared" si="21"/>
        <v>sim</v>
      </c>
      <c r="E162" s="2">
        <f t="shared" si="18"/>
        <v>15.280000000000001</v>
      </c>
      <c r="F162" s="68">
        <f t="shared" si="19"/>
        <v>4.5653333333333332</v>
      </c>
      <c r="G162" s="48">
        <v>10</v>
      </c>
      <c r="H162" s="2" t="str">
        <f t="shared" si="20"/>
        <v>não</v>
      </c>
    </row>
    <row r="163" spans="1:8" ht="12" customHeight="1" x14ac:dyDescent="0.2">
      <c r="A163" s="70">
        <v>11</v>
      </c>
      <c r="B163" s="48">
        <v>148.6</v>
      </c>
      <c r="C163" s="67">
        <v>210</v>
      </c>
      <c r="D163" s="67" t="str">
        <f t="shared" si="21"/>
        <v>sim</v>
      </c>
      <c r="E163" s="2">
        <f t="shared" si="18"/>
        <v>29.72</v>
      </c>
      <c r="F163" s="68">
        <f t="shared" si="19"/>
        <v>7.9346666666666668</v>
      </c>
      <c r="G163" s="48">
        <v>10</v>
      </c>
      <c r="H163" s="2" t="str">
        <f t="shared" si="20"/>
        <v>não</v>
      </c>
    </row>
    <row r="164" spans="1:8" ht="12" customHeight="1" x14ac:dyDescent="0.2">
      <c r="A164" s="70">
        <v>12</v>
      </c>
      <c r="B164" s="48">
        <v>132.6</v>
      </c>
      <c r="C164" s="67">
        <v>27</v>
      </c>
      <c r="D164" s="67" t="str">
        <f t="shared" si="21"/>
        <v>sim</v>
      </c>
      <c r="E164" s="2">
        <f t="shared" si="18"/>
        <v>26.52</v>
      </c>
      <c r="F164" s="68">
        <f t="shared" si="19"/>
        <v>7.1879999999999997</v>
      </c>
      <c r="G164" s="48">
        <v>3</v>
      </c>
      <c r="H164" s="2" t="str">
        <f t="shared" si="20"/>
        <v>não</v>
      </c>
    </row>
    <row r="165" spans="1:8" ht="12" customHeight="1" x14ac:dyDescent="0.2">
      <c r="A165" s="70">
        <v>13</v>
      </c>
      <c r="B165" s="48">
        <v>227.9</v>
      </c>
      <c r="C165" s="67">
        <v>132</v>
      </c>
      <c r="D165" s="67" t="str">
        <f t="shared" si="21"/>
        <v>sim</v>
      </c>
      <c r="E165" s="2">
        <f t="shared" si="18"/>
        <v>45.58</v>
      </c>
      <c r="F165" s="68">
        <f t="shared" si="19"/>
        <v>11.635333333333334</v>
      </c>
      <c r="G165" s="48">
        <v>7</v>
      </c>
      <c r="H165" s="2" t="str">
        <f t="shared" si="20"/>
        <v>não</v>
      </c>
    </row>
    <row r="166" spans="1:8" ht="12" customHeight="1" x14ac:dyDescent="0.2">
      <c r="A166" s="70">
        <v>14</v>
      </c>
      <c r="B166" s="48">
        <v>199.7</v>
      </c>
      <c r="C166" s="67">
        <v>66</v>
      </c>
      <c r="D166" s="67" t="str">
        <f t="shared" si="21"/>
        <v>sim</v>
      </c>
      <c r="E166" s="2">
        <f t="shared" si="18"/>
        <v>39.94</v>
      </c>
      <c r="F166" s="68">
        <f t="shared" si="19"/>
        <v>10.319333333333333</v>
      </c>
      <c r="G166" s="48">
        <v>10</v>
      </c>
      <c r="H166" s="2" t="str">
        <f t="shared" si="20"/>
        <v>não</v>
      </c>
    </row>
    <row r="167" spans="1:8" ht="12" customHeight="1" x14ac:dyDescent="0.2">
      <c r="A167" s="70">
        <v>15</v>
      </c>
      <c r="B167" s="48">
        <v>171.8</v>
      </c>
      <c r="C167" s="67">
        <v>7</v>
      </c>
      <c r="D167" s="67" t="str">
        <f t="shared" si="21"/>
        <v>sim</v>
      </c>
      <c r="E167" s="2">
        <f t="shared" si="18"/>
        <v>34.36</v>
      </c>
      <c r="F167" s="68">
        <f t="shared" si="19"/>
        <v>9.017333333333335</v>
      </c>
      <c r="G167" s="48">
        <v>3</v>
      </c>
      <c r="H167" s="2" t="str">
        <f t="shared" si="20"/>
        <v>não</v>
      </c>
    </row>
    <row r="168" spans="1:8" ht="12" customHeight="1" x14ac:dyDescent="0.2">
      <c r="A168" s="70">
        <v>16</v>
      </c>
      <c r="B168" s="48">
        <v>253</v>
      </c>
      <c r="C168" s="67">
        <v>121</v>
      </c>
      <c r="D168" s="67" t="str">
        <f t="shared" si="21"/>
        <v>sim</v>
      </c>
      <c r="E168" s="2">
        <f t="shared" si="18"/>
        <v>50.6</v>
      </c>
      <c r="F168" s="68">
        <f t="shared" si="19"/>
        <v>12.806666666666667</v>
      </c>
      <c r="G168" s="48">
        <v>10</v>
      </c>
      <c r="H168" s="2" t="str">
        <f t="shared" si="20"/>
        <v>não</v>
      </c>
    </row>
    <row r="169" spans="1:8" ht="12" customHeight="1" x14ac:dyDescent="0.2">
      <c r="A169" s="70">
        <v>17</v>
      </c>
      <c r="B169" s="48">
        <v>231.9</v>
      </c>
      <c r="C169" s="67">
        <v>20</v>
      </c>
      <c r="D169" s="67" t="str">
        <f t="shared" si="21"/>
        <v>sim</v>
      </c>
      <c r="E169" s="2">
        <f t="shared" si="18"/>
        <v>46.38</v>
      </c>
      <c r="F169" s="68">
        <f t="shared" si="19"/>
        <v>11.821999999999999</v>
      </c>
      <c r="G169" s="48">
        <v>7</v>
      </c>
      <c r="H169" s="2" t="str">
        <f t="shared" si="20"/>
        <v>não</v>
      </c>
    </row>
    <row r="170" spans="1:8" ht="12" customHeight="1" x14ac:dyDescent="0.2">
      <c r="A170" s="70">
        <v>18</v>
      </c>
      <c r="B170" s="48">
        <v>227.4</v>
      </c>
      <c r="C170" s="67">
        <v>20</v>
      </c>
      <c r="D170" s="67" t="str">
        <f t="shared" si="21"/>
        <v>sim</v>
      </c>
      <c r="E170" s="2">
        <f t="shared" si="18"/>
        <v>45.480000000000004</v>
      </c>
      <c r="F170" s="68">
        <f t="shared" si="19"/>
        <v>11.612</v>
      </c>
      <c r="G170" s="48">
        <v>7</v>
      </c>
      <c r="H170" s="2" t="str">
        <f t="shared" si="20"/>
        <v>não</v>
      </c>
    </row>
    <row r="171" spans="1:8" ht="12" customHeight="1" x14ac:dyDescent="0.2">
      <c r="A171" s="70">
        <v>19</v>
      </c>
      <c r="B171" s="48">
        <v>245.6</v>
      </c>
      <c r="C171" s="67">
        <v>20</v>
      </c>
      <c r="D171" s="67" t="str">
        <f t="shared" si="21"/>
        <v>sim</v>
      </c>
      <c r="E171" s="2">
        <f t="shared" si="18"/>
        <v>49.12</v>
      </c>
      <c r="F171" s="68">
        <f t="shared" si="19"/>
        <v>12.461333333333334</v>
      </c>
      <c r="G171" s="48">
        <v>7</v>
      </c>
      <c r="H171" s="2" t="str">
        <f t="shared" si="20"/>
        <v>não</v>
      </c>
    </row>
    <row r="172" spans="1:8" ht="12" customHeight="1" x14ac:dyDescent="0.2">
      <c r="A172" s="70">
        <v>20</v>
      </c>
      <c r="B172" s="48">
        <v>237.5</v>
      </c>
      <c r="C172" s="67">
        <v>20</v>
      </c>
      <c r="D172" s="67" t="str">
        <f t="shared" si="21"/>
        <v>sim</v>
      </c>
      <c r="E172" s="2">
        <f t="shared" si="18"/>
        <v>47.5</v>
      </c>
      <c r="F172" s="68">
        <f t="shared" si="19"/>
        <v>12.083333333333334</v>
      </c>
      <c r="G172" s="48">
        <v>7</v>
      </c>
      <c r="H172" s="2" t="str">
        <f t="shared" si="20"/>
        <v>não</v>
      </c>
    </row>
    <row r="173" spans="1:8" ht="12" customHeight="1" x14ac:dyDescent="0.2">
      <c r="A173" s="70">
        <v>21</v>
      </c>
      <c r="B173" s="48">
        <v>215.3</v>
      </c>
      <c r="C173" s="67">
        <v>20</v>
      </c>
      <c r="D173" s="67" t="str">
        <f t="shared" si="21"/>
        <v>sim</v>
      </c>
      <c r="E173" s="2">
        <f t="shared" si="18"/>
        <v>43.06</v>
      </c>
      <c r="F173" s="68">
        <f t="shared" si="19"/>
        <v>11.047333333333334</v>
      </c>
      <c r="G173" s="48">
        <v>7</v>
      </c>
      <c r="H173" s="2" t="str">
        <f t="shared" si="20"/>
        <v>não</v>
      </c>
    </row>
    <row r="174" spans="1:8" ht="12" customHeight="1" x14ac:dyDescent="0.2">
      <c r="A174" s="70">
        <v>22</v>
      </c>
      <c r="B174" s="48">
        <v>229.3</v>
      </c>
      <c r="C174" s="67">
        <v>20</v>
      </c>
      <c r="D174" s="67" t="str">
        <f t="shared" si="21"/>
        <v>sim</v>
      </c>
      <c r="E174" s="2">
        <f t="shared" si="18"/>
        <v>45.86</v>
      </c>
      <c r="F174" s="68">
        <f t="shared" si="19"/>
        <v>11.700666666666667</v>
      </c>
      <c r="G174" s="48">
        <v>7</v>
      </c>
      <c r="H174" s="2" t="str">
        <f t="shared" si="20"/>
        <v>não</v>
      </c>
    </row>
    <row r="175" spans="1:8" ht="12" customHeight="1" x14ac:dyDescent="0.2">
      <c r="A175" s="70">
        <v>23</v>
      </c>
      <c r="B175" s="48">
        <v>222.1</v>
      </c>
      <c r="C175" s="67">
        <v>20</v>
      </c>
      <c r="D175" s="67" t="str">
        <f t="shared" si="21"/>
        <v>sim</v>
      </c>
      <c r="E175" s="2">
        <f t="shared" si="18"/>
        <v>44.42</v>
      </c>
      <c r="F175" s="68">
        <f t="shared" si="19"/>
        <v>11.364666666666666</v>
      </c>
      <c r="G175" s="48">
        <v>7</v>
      </c>
      <c r="H175" s="2" t="str">
        <f t="shared" si="20"/>
        <v>não</v>
      </c>
    </row>
    <row r="176" spans="1:8" ht="12" customHeight="1" x14ac:dyDescent="0.2">
      <c r="A176" s="70">
        <v>24</v>
      </c>
      <c r="B176" s="48">
        <v>209.1</v>
      </c>
      <c r="C176" s="67">
        <v>20</v>
      </c>
      <c r="D176" s="67" t="str">
        <f t="shared" si="21"/>
        <v>sim</v>
      </c>
      <c r="E176" s="2">
        <f t="shared" si="18"/>
        <v>41.82</v>
      </c>
      <c r="F176" s="68">
        <f t="shared" si="19"/>
        <v>10.758000000000001</v>
      </c>
      <c r="G176" s="48">
        <v>7</v>
      </c>
      <c r="H176" s="2" t="str">
        <f t="shared" si="20"/>
        <v>não</v>
      </c>
    </row>
    <row r="177" spans="1:8" ht="12" customHeight="1" x14ac:dyDescent="0.2">
      <c r="A177" s="70">
        <v>25</v>
      </c>
      <c r="B177" s="48">
        <v>199.9</v>
      </c>
      <c r="C177" s="67">
        <v>73</v>
      </c>
      <c r="D177" s="67" t="str">
        <f t="shared" si="21"/>
        <v>sim</v>
      </c>
      <c r="E177" s="2">
        <f t="shared" si="18"/>
        <v>39.980000000000004</v>
      </c>
      <c r="F177" s="68">
        <f t="shared" si="19"/>
        <v>10.328666666666667</v>
      </c>
      <c r="G177" s="48">
        <v>7</v>
      </c>
      <c r="H177" s="2" t="str">
        <f t="shared" si="20"/>
        <v>não</v>
      </c>
    </row>
    <row r="178" spans="1:8" ht="12" customHeight="1" x14ac:dyDescent="0.2">
      <c r="A178" s="70">
        <v>26</v>
      </c>
      <c r="B178" s="48">
        <v>201.8</v>
      </c>
      <c r="C178" s="67">
        <v>75</v>
      </c>
      <c r="D178" s="67" t="str">
        <f t="shared" si="21"/>
        <v>sim</v>
      </c>
      <c r="E178" s="2">
        <f t="shared" si="18"/>
        <v>40.36</v>
      </c>
      <c r="F178" s="68">
        <f t="shared" si="19"/>
        <v>10.417333333333334</v>
      </c>
      <c r="G178" s="48">
        <v>7</v>
      </c>
      <c r="H178" s="2" t="str">
        <f t="shared" si="20"/>
        <v>não</v>
      </c>
    </row>
    <row r="179" spans="1:8" ht="30" customHeight="1" x14ac:dyDescent="0.2">
      <c r="A179" s="71" t="s">
        <v>39</v>
      </c>
      <c r="B179" s="73">
        <v>26.32</v>
      </c>
      <c r="C179" s="67">
        <f>90.24+15.06</f>
        <v>105.3</v>
      </c>
      <c r="D179" s="67" t="str">
        <f t="shared" si="21"/>
        <v>sim</v>
      </c>
      <c r="E179" s="2">
        <f t="shared" si="18"/>
        <v>5.2640000000000002</v>
      </c>
      <c r="F179" s="68">
        <f t="shared" si="19"/>
        <v>2.2282666666666664</v>
      </c>
      <c r="G179" s="48">
        <v>13.17</v>
      </c>
      <c r="H179" s="81" t="str">
        <f t="shared" si="20"/>
        <v>sim</v>
      </c>
    </row>
    <row r="180" spans="1:8" s="75" customFormat="1" ht="9.9499999999999993" customHeight="1" x14ac:dyDescent="0.2">
      <c r="A180" s="72"/>
      <c r="B180" s="73"/>
      <c r="C180" s="2"/>
      <c r="D180" s="2"/>
      <c r="E180" s="2"/>
      <c r="F180" s="73"/>
      <c r="G180" s="74"/>
      <c r="H180" s="2"/>
    </row>
    <row r="181" spans="1:8" ht="20.100000000000001" customHeight="1" thickBot="1" x14ac:dyDescent="0.25">
      <c r="A181" s="193" t="s">
        <v>48</v>
      </c>
      <c r="B181" s="193"/>
      <c r="C181" s="193"/>
      <c r="D181" s="193"/>
      <c r="E181" s="193"/>
      <c r="F181" s="193"/>
      <c r="G181" s="193"/>
      <c r="H181" s="193"/>
    </row>
    <row r="182" spans="1:8" s="65" customFormat="1" ht="26.1" customHeight="1" thickBot="1" x14ac:dyDescent="0.25">
      <c r="A182" s="63" t="s">
        <v>28</v>
      </c>
      <c r="B182" s="64" t="s">
        <v>22</v>
      </c>
      <c r="C182" s="63" t="s">
        <v>23</v>
      </c>
      <c r="D182" s="63" t="s">
        <v>29</v>
      </c>
      <c r="E182" s="63" t="s">
        <v>30</v>
      </c>
      <c r="F182" s="63" t="s">
        <v>31</v>
      </c>
      <c r="G182" s="63" t="s">
        <v>32</v>
      </c>
      <c r="H182" s="63" t="s">
        <v>33</v>
      </c>
    </row>
    <row r="183" spans="1:8" ht="12" customHeight="1" x14ac:dyDescent="0.2">
      <c r="A183" s="1">
        <v>1</v>
      </c>
      <c r="B183" s="76">
        <v>242.2</v>
      </c>
      <c r="C183" s="67">
        <v>28</v>
      </c>
      <c r="D183" s="67" t="str">
        <f>IF(B183 &lt; 300,"sim","nao")</f>
        <v>sim</v>
      </c>
      <c r="E183" s="2">
        <f t="shared" ref="E183:E208" si="22">B183/5</f>
        <v>48.44</v>
      </c>
      <c r="F183" s="68">
        <f t="shared" ref="F183:F208" si="23">1+(14*B183)/300</f>
        <v>12.302666666666665</v>
      </c>
      <c r="G183" s="69">
        <v>5</v>
      </c>
      <c r="H183" s="2" t="str">
        <f t="shared" ref="H183:H208" si="24">IF(AND(G183&gt;=E183,C183&gt;=F183),"sim","não")</f>
        <v>não</v>
      </c>
    </row>
    <row r="184" spans="1:8" ht="12" customHeight="1" x14ac:dyDescent="0.2">
      <c r="A184" s="70">
        <v>2</v>
      </c>
      <c r="B184" s="76">
        <v>240.8</v>
      </c>
      <c r="C184" s="67">
        <v>41</v>
      </c>
      <c r="D184" s="67" t="str">
        <f t="shared" ref="D184:D209" si="25">IF(B184 &lt; 300,"sim","nao")</f>
        <v>sim</v>
      </c>
      <c r="E184" s="2">
        <f t="shared" si="22"/>
        <v>48.160000000000004</v>
      </c>
      <c r="F184" s="68">
        <f t="shared" si="23"/>
        <v>12.237333333333334</v>
      </c>
      <c r="G184" s="69">
        <v>7</v>
      </c>
      <c r="H184" s="2" t="str">
        <f t="shared" si="24"/>
        <v>não</v>
      </c>
    </row>
    <row r="185" spans="1:8" ht="12" customHeight="1" x14ac:dyDescent="0.2">
      <c r="A185" s="70">
        <v>3</v>
      </c>
      <c r="B185" s="76">
        <v>232.8</v>
      </c>
      <c r="C185" s="67">
        <v>47</v>
      </c>
      <c r="D185" s="67" t="str">
        <f t="shared" si="25"/>
        <v>sim</v>
      </c>
      <c r="E185" s="2">
        <f t="shared" si="22"/>
        <v>46.56</v>
      </c>
      <c r="F185" s="68">
        <f t="shared" si="23"/>
        <v>11.864000000000001</v>
      </c>
      <c r="G185" s="69">
        <v>7</v>
      </c>
      <c r="H185" s="2" t="str">
        <f t="shared" si="24"/>
        <v>não</v>
      </c>
    </row>
    <row r="186" spans="1:8" ht="12" customHeight="1" x14ac:dyDescent="0.2">
      <c r="A186" s="70">
        <v>4</v>
      </c>
      <c r="B186" s="48">
        <v>250.9</v>
      </c>
      <c r="C186" s="67">
        <v>35</v>
      </c>
      <c r="D186" s="67" t="str">
        <f t="shared" si="25"/>
        <v>sim</v>
      </c>
      <c r="E186" s="2">
        <f t="shared" si="22"/>
        <v>50.18</v>
      </c>
      <c r="F186" s="68">
        <f t="shared" si="23"/>
        <v>12.708666666666666</v>
      </c>
      <c r="G186" s="48">
        <v>7</v>
      </c>
      <c r="H186" s="2" t="str">
        <f t="shared" si="24"/>
        <v>não</v>
      </c>
    </row>
    <row r="187" spans="1:8" ht="12" customHeight="1" x14ac:dyDescent="0.2">
      <c r="A187" s="70">
        <v>5</v>
      </c>
      <c r="B187" s="48">
        <v>167.4</v>
      </c>
      <c r="C187" s="67">
        <v>14</v>
      </c>
      <c r="D187" s="67" t="str">
        <f t="shared" si="25"/>
        <v>sim</v>
      </c>
      <c r="E187" s="2">
        <f t="shared" si="22"/>
        <v>33.480000000000004</v>
      </c>
      <c r="F187" s="68">
        <f t="shared" si="23"/>
        <v>8.8119999999999994</v>
      </c>
      <c r="G187" s="48">
        <v>5</v>
      </c>
      <c r="H187" s="2" t="str">
        <f t="shared" si="24"/>
        <v>não</v>
      </c>
    </row>
    <row r="188" spans="1:8" ht="12" customHeight="1" x14ac:dyDescent="0.2">
      <c r="A188" s="70">
        <v>6</v>
      </c>
      <c r="B188" s="48">
        <v>299</v>
      </c>
      <c r="C188" s="2">
        <v>133</v>
      </c>
      <c r="D188" s="67" t="str">
        <f t="shared" si="25"/>
        <v>sim</v>
      </c>
      <c r="E188" s="2">
        <f t="shared" si="22"/>
        <v>59.8</v>
      </c>
      <c r="F188" s="68">
        <f t="shared" si="23"/>
        <v>14.953333333333333</v>
      </c>
      <c r="G188" s="48">
        <v>10</v>
      </c>
      <c r="H188" s="2" t="str">
        <f t="shared" si="24"/>
        <v>não</v>
      </c>
    </row>
    <row r="189" spans="1:8" ht="12" customHeight="1" x14ac:dyDescent="0.2">
      <c r="A189" s="70">
        <v>7</v>
      </c>
      <c r="B189" s="48">
        <v>206.3</v>
      </c>
      <c r="C189" s="67">
        <v>78</v>
      </c>
      <c r="D189" s="67" t="str">
        <f t="shared" si="25"/>
        <v>sim</v>
      </c>
      <c r="E189" s="2">
        <f t="shared" si="22"/>
        <v>41.260000000000005</v>
      </c>
      <c r="F189" s="68">
        <f t="shared" si="23"/>
        <v>10.627333333333334</v>
      </c>
      <c r="G189" s="48">
        <v>7</v>
      </c>
      <c r="H189" s="2" t="str">
        <f t="shared" si="24"/>
        <v>não</v>
      </c>
    </row>
    <row r="190" spans="1:8" ht="12" customHeight="1" x14ac:dyDescent="0.2">
      <c r="A190" s="70">
        <v>8</v>
      </c>
      <c r="B190" s="48">
        <v>109</v>
      </c>
      <c r="C190" s="67">
        <v>81</v>
      </c>
      <c r="D190" s="67" t="str">
        <f t="shared" si="25"/>
        <v>sim</v>
      </c>
      <c r="E190" s="2">
        <f t="shared" si="22"/>
        <v>21.8</v>
      </c>
      <c r="F190" s="68">
        <f t="shared" si="23"/>
        <v>6.0866666666666669</v>
      </c>
      <c r="G190" s="48">
        <v>10</v>
      </c>
      <c r="H190" s="2" t="str">
        <f t="shared" si="24"/>
        <v>não</v>
      </c>
    </row>
    <row r="191" spans="1:8" ht="12" customHeight="1" x14ac:dyDescent="0.2">
      <c r="A191" s="70">
        <v>9</v>
      </c>
      <c r="B191" s="48">
        <v>235.1</v>
      </c>
      <c r="C191" s="67">
        <v>13</v>
      </c>
      <c r="D191" s="67" t="str">
        <f t="shared" si="25"/>
        <v>sim</v>
      </c>
      <c r="E191" s="2">
        <f t="shared" si="22"/>
        <v>47.019999999999996</v>
      </c>
      <c r="F191" s="68">
        <f t="shared" si="23"/>
        <v>11.971333333333334</v>
      </c>
      <c r="G191" s="48">
        <v>3</v>
      </c>
      <c r="H191" s="2" t="str">
        <f t="shared" si="24"/>
        <v>não</v>
      </c>
    </row>
    <row r="192" spans="1:8" ht="12" customHeight="1" x14ac:dyDescent="0.2">
      <c r="A192" s="70">
        <v>10</v>
      </c>
      <c r="B192" s="48">
        <v>96.6</v>
      </c>
      <c r="C192" s="67">
        <v>133</v>
      </c>
      <c r="D192" s="67" t="str">
        <f t="shared" si="25"/>
        <v>sim</v>
      </c>
      <c r="E192" s="2">
        <f t="shared" si="22"/>
        <v>19.32</v>
      </c>
      <c r="F192" s="68">
        <f t="shared" si="23"/>
        <v>5.5079999999999991</v>
      </c>
      <c r="G192" s="48">
        <v>10</v>
      </c>
      <c r="H192" s="2" t="str">
        <f t="shared" si="24"/>
        <v>não</v>
      </c>
    </row>
    <row r="193" spans="1:8" ht="12" customHeight="1" x14ac:dyDescent="0.2">
      <c r="A193" s="70">
        <v>11</v>
      </c>
      <c r="B193" s="48">
        <v>173.2</v>
      </c>
      <c r="C193" s="67">
        <v>210</v>
      </c>
      <c r="D193" s="67" t="str">
        <f t="shared" si="25"/>
        <v>sim</v>
      </c>
      <c r="E193" s="2">
        <f t="shared" si="22"/>
        <v>34.64</v>
      </c>
      <c r="F193" s="68">
        <f t="shared" si="23"/>
        <v>9.0826666666666664</v>
      </c>
      <c r="G193" s="48">
        <v>10</v>
      </c>
      <c r="H193" s="2" t="str">
        <f t="shared" si="24"/>
        <v>não</v>
      </c>
    </row>
    <row r="194" spans="1:8" ht="12" customHeight="1" x14ac:dyDescent="0.2">
      <c r="A194" s="70">
        <v>12</v>
      </c>
      <c r="B194" s="48">
        <v>183.6</v>
      </c>
      <c r="C194" s="67">
        <v>27</v>
      </c>
      <c r="D194" s="67" t="str">
        <f t="shared" si="25"/>
        <v>sim</v>
      </c>
      <c r="E194" s="2">
        <f t="shared" si="22"/>
        <v>36.72</v>
      </c>
      <c r="F194" s="68">
        <f t="shared" si="23"/>
        <v>9.5679999999999996</v>
      </c>
      <c r="G194" s="48">
        <v>3</v>
      </c>
      <c r="H194" s="2" t="str">
        <f t="shared" si="24"/>
        <v>não</v>
      </c>
    </row>
    <row r="195" spans="1:8" ht="12" customHeight="1" x14ac:dyDescent="0.2">
      <c r="A195" s="70">
        <v>13</v>
      </c>
      <c r="B195" s="48">
        <v>265.39999999999998</v>
      </c>
      <c r="C195" s="67">
        <v>132</v>
      </c>
      <c r="D195" s="67" t="str">
        <f t="shared" si="25"/>
        <v>sim</v>
      </c>
      <c r="E195" s="2">
        <f t="shared" si="22"/>
        <v>53.08</v>
      </c>
      <c r="F195" s="68">
        <f t="shared" si="23"/>
        <v>13.385333333333332</v>
      </c>
      <c r="G195" s="48">
        <v>7</v>
      </c>
      <c r="H195" s="2" t="str">
        <f t="shared" si="24"/>
        <v>não</v>
      </c>
    </row>
    <row r="196" spans="1:8" ht="12" customHeight="1" x14ac:dyDescent="0.2">
      <c r="A196" s="70">
        <v>14</v>
      </c>
      <c r="B196" s="48">
        <v>230.5</v>
      </c>
      <c r="C196" s="67">
        <v>66</v>
      </c>
      <c r="D196" s="67" t="str">
        <f t="shared" si="25"/>
        <v>sim</v>
      </c>
      <c r="E196" s="2">
        <f t="shared" si="22"/>
        <v>46.1</v>
      </c>
      <c r="F196" s="68">
        <f t="shared" si="23"/>
        <v>11.756666666666666</v>
      </c>
      <c r="G196" s="48">
        <v>10</v>
      </c>
      <c r="H196" s="2" t="str">
        <f t="shared" si="24"/>
        <v>não</v>
      </c>
    </row>
    <row r="197" spans="1:8" ht="12" customHeight="1" x14ac:dyDescent="0.2">
      <c r="A197" s="70">
        <v>15</v>
      </c>
      <c r="B197" s="48">
        <v>222.3</v>
      </c>
      <c r="C197" s="67">
        <v>7</v>
      </c>
      <c r="D197" s="67" t="str">
        <f t="shared" si="25"/>
        <v>sim</v>
      </c>
      <c r="E197" s="2">
        <f t="shared" si="22"/>
        <v>44.46</v>
      </c>
      <c r="F197" s="68">
        <f t="shared" si="23"/>
        <v>11.374000000000001</v>
      </c>
      <c r="G197" s="48">
        <v>3</v>
      </c>
      <c r="H197" s="2" t="str">
        <f t="shared" si="24"/>
        <v>não</v>
      </c>
    </row>
    <row r="198" spans="1:8" ht="12" customHeight="1" x14ac:dyDescent="0.2">
      <c r="A198" s="70">
        <v>16</v>
      </c>
      <c r="B198" s="48">
        <v>273.89999999999998</v>
      </c>
      <c r="C198" s="67">
        <v>121</v>
      </c>
      <c r="D198" s="67" t="str">
        <f t="shared" si="25"/>
        <v>sim</v>
      </c>
      <c r="E198" s="2">
        <f t="shared" si="22"/>
        <v>54.779999999999994</v>
      </c>
      <c r="F198" s="68">
        <f t="shared" si="23"/>
        <v>13.781999999999998</v>
      </c>
      <c r="G198" s="48">
        <v>10</v>
      </c>
      <c r="H198" s="2" t="str">
        <f t="shared" si="24"/>
        <v>não</v>
      </c>
    </row>
    <row r="199" spans="1:8" ht="12" customHeight="1" x14ac:dyDescent="0.2">
      <c r="A199" s="70">
        <v>17</v>
      </c>
      <c r="B199" s="48">
        <v>249.8</v>
      </c>
      <c r="C199" s="67">
        <v>20</v>
      </c>
      <c r="D199" s="67" t="str">
        <f t="shared" si="25"/>
        <v>sim</v>
      </c>
      <c r="E199" s="2">
        <f t="shared" si="22"/>
        <v>49.96</v>
      </c>
      <c r="F199" s="68">
        <f t="shared" si="23"/>
        <v>12.657333333333334</v>
      </c>
      <c r="G199" s="48">
        <v>7</v>
      </c>
      <c r="H199" s="2" t="str">
        <f t="shared" si="24"/>
        <v>não</v>
      </c>
    </row>
    <row r="200" spans="1:8" ht="12" customHeight="1" x14ac:dyDescent="0.2">
      <c r="A200" s="70">
        <v>18</v>
      </c>
      <c r="B200" s="48">
        <v>249.2</v>
      </c>
      <c r="C200" s="67">
        <v>20</v>
      </c>
      <c r="D200" s="67" t="str">
        <f t="shared" si="25"/>
        <v>sim</v>
      </c>
      <c r="E200" s="2">
        <f t="shared" si="22"/>
        <v>49.839999999999996</v>
      </c>
      <c r="F200" s="68">
        <f t="shared" si="23"/>
        <v>12.629333333333333</v>
      </c>
      <c r="G200" s="48">
        <v>7</v>
      </c>
      <c r="H200" s="2" t="str">
        <f t="shared" si="24"/>
        <v>não</v>
      </c>
    </row>
    <row r="201" spans="1:8" ht="12" customHeight="1" x14ac:dyDescent="0.2">
      <c r="A201" s="70">
        <v>19</v>
      </c>
      <c r="B201" s="48">
        <v>255.4</v>
      </c>
      <c r="C201" s="67">
        <v>20</v>
      </c>
      <c r="D201" s="67" t="str">
        <f t="shared" si="25"/>
        <v>sim</v>
      </c>
      <c r="E201" s="2">
        <f t="shared" si="22"/>
        <v>51.08</v>
      </c>
      <c r="F201" s="68">
        <f t="shared" si="23"/>
        <v>12.918666666666667</v>
      </c>
      <c r="G201" s="48">
        <v>7</v>
      </c>
      <c r="H201" s="2" t="str">
        <f t="shared" si="24"/>
        <v>não</v>
      </c>
    </row>
    <row r="202" spans="1:8" ht="12" customHeight="1" x14ac:dyDescent="0.2">
      <c r="A202" s="70">
        <v>20</v>
      </c>
      <c r="B202" s="48">
        <v>251.5</v>
      </c>
      <c r="C202" s="67">
        <v>20</v>
      </c>
      <c r="D202" s="67" t="str">
        <f t="shared" si="25"/>
        <v>sim</v>
      </c>
      <c r="E202" s="2">
        <f t="shared" si="22"/>
        <v>50.3</v>
      </c>
      <c r="F202" s="68">
        <f t="shared" si="23"/>
        <v>12.736666666666666</v>
      </c>
      <c r="G202" s="48">
        <v>7</v>
      </c>
      <c r="H202" s="2" t="str">
        <f t="shared" si="24"/>
        <v>não</v>
      </c>
    </row>
    <row r="203" spans="1:8" ht="12" customHeight="1" x14ac:dyDescent="0.2">
      <c r="A203" s="70">
        <v>21</v>
      </c>
      <c r="B203" s="48">
        <v>232.5</v>
      </c>
      <c r="C203" s="67">
        <v>20</v>
      </c>
      <c r="D203" s="67" t="str">
        <f t="shared" si="25"/>
        <v>sim</v>
      </c>
      <c r="E203" s="2">
        <f t="shared" si="22"/>
        <v>46.5</v>
      </c>
      <c r="F203" s="68">
        <f t="shared" si="23"/>
        <v>11.85</v>
      </c>
      <c r="G203" s="48">
        <v>7</v>
      </c>
      <c r="H203" s="2" t="str">
        <f t="shared" si="24"/>
        <v>não</v>
      </c>
    </row>
    <row r="204" spans="1:8" ht="12" customHeight="1" x14ac:dyDescent="0.2">
      <c r="A204" s="70">
        <v>22</v>
      </c>
      <c r="B204" s="48">
        <v>238</v>
      </c>
      <c r="C204" s="67">
        <v>20</v>
      </c>
      <c r="D204" s="67" t="str">
        <f t="shared" si="25"/>
        <v>sim</v>
      </c>
      <c r="E204" s="2">
        <f t="shared" si="22"/>
        <v>47.6</v>
      </c>
      <c r="F204" s="68">
        <f t="shared" si="23"/>
        <v>12.106666666666667</v>
      </c>
      <c r="G204" s="48">
        <v>7</v>
      </c>
      <c r="H204" s="2" t="str">
        <f t="shared" si="24"/>
        <v>não</v>
      </c>
    </row>
    <row r="205" spans="1:8" ht="12" customHeight="1" x14ac:dyDescent="0.2">
      <c r="A205" s="70">
        <v>23</v>
      </c>
      <c r="B205" s="48">
        <v>235.2</v>
      </c>
      <c r="C205" s="67">
        <v>20</v>
      </c>
      <c r="D205" s="67" t="str">
        <f t="shared" si="25"/>
        <v>sim</v>
      </c>
      <c r="E205" s="2">
        <f t="shared" si="22"/>
        <v>47.04</v>
      </c>
      <c r="F205" s="68">
        <f t="shared" si="23"/>
        <v>11.975999999999999</v>
      </c>
      <c r="G205" s="48">
        <v>7</v>
      </c>
      <c r="H205" s="2" t="str">
        <f t="shared" si="24"/>
        <v>não</v>
      </c>
    </row>
    <row r="206" spans="1:8" ht="12" customHeight="1" x14ac:dyDescent="0.2">
      <c r="A206" s="70">
        <v>24</v>
      </c>
      <c r="B206" s="48">
        <v>258.39999999999998</v>
      </c>
      <c r="C206" s="67">
        <v>20</v>
      </c>
      <c r="D206" s="67" t="str">
        <f t="shared" si="25"/>
        <v>sim</v>
      </c>
      <c r="E206" s="2">
        <f t="shared" si="22"/>
        <v>51.679999999999993</v>
      </c>
      <c r="F206" s="68">
        <f t="shared" si="23"/>
        <v>13.058666666666666</v>
      </c>
      <c r="G206" s="48">
        <v>7</v>
      </c>
      <c r="H206" s="2" t="str">
        <f t="shared" si="24"/>
        <v>não</v>
      </c>
    </row>
    <row r="207" spans="1:8" ht="12" customHeight="1" x14ac:dyDescent="0.2">
      <c r="A207" s="70">
        <v>25</v>
      </c>
      <c r="B207" s="48">
        <v>247.3</v>
      </c>
      <c r="C207" s="67">
        <v>73</v>
      </c>
      <c r="D207" s="67" t="str">
        <f t="shared" si="25"/>
        <v>sim</v>
      </c>
      <c r="E207" s="2">
        <f t="shared" si="22"/>
        <v>49.46</v>
      </c>
      <c r="F207" s="68">
        <f t="shared" si="23"/>
        <v>12.540666666666668</v>
      </c>
      <c r="G207" s="48">
        <v>7</v>
      </c>
      <c r="H207" s="2" t="str">
        <f t="shared" si="24"/>
        <v>não</v>
      </c>
    </row>
    <row r="208" spans="1:8" ht="12" customHeight="1" x14ac:dyDescent="0.2">
      <c r="A208" s="70">
        <v>26</v>
      </c>
      <c r="B208" s="48">
        <v>246.4</v>
      </c>
      <c r="C208" s="67">
        <v>75</v>
      </c>
      <c r="D208" s="67" t="str">
        <f t="shared" si="25"/>
        <v>sim</v>
      </c>
      <c r="E208" s="2">
        <f t="shared" si="22"/>
        <v>49.28</v>
      </c>
      <c r="F208" s="68">
        <f t="shared" si="23"/>
        <v>12.498666666666667</v>
      </c>
      <c r="G208" s="48">
        <v>7</v>
      </c>
      <c r="H208" s="2" t="str">
        <f t="shared" si="24"/>
        <v>não</v>
      </c>
    </row>
    <row r="209" spans="1:8" ht="30" customHeight="1" x14ac:dyDescent="0.2">
      <c r="A209" s="71" t="s">
        <v>39</v>
      </c>
      <c r="B209" s="68">
        <v>5.67</v>
      </c>
      <c r="C209" s="49">
        <f>90.24+15.06</f>
        <v>105.3</v>
      </c>
      <c r="D209" s="49" t="str">
        <f t="shared" si="25"/>
        <v>sim</v>
      </c>
      <c r="E209" s="2">
        <f t="shared" ref="E209" si="26">B209/5</f>
        <v>1.1339999999999999</v>
      </c>
      <c r="F209" s="68">
        <f t="shared" ref="F209" si="27">1+(14*B209)/300</f>
        <v>1.2645999999999999</v>
      </c>
      <c r="G209" s="48">
        <v>13.17</v>
      </c>
      <c r="H209" s="81" t="str">
        <f t="shared" ref="H209" si="28">IF(AND(G209&gt;=E209,C209&gt;=F209),"sim","não")</f>
        <v>sim</v>
      </c>
    </row>
    <row r="210" spans="1:8" s="75" customFormat="1" ht="9.9499999999999993" customHeight="1" x14ac:dyDescent="0.2">
      <c r="A210" s="72"/>
      <c r="B210" s="73"/>
      <c r="C210" s="77"/>
      <c r="D210" s="77"/>
      <c r="E210" s="2"/>
      <c r="F210" s="73"/>
      <c r="G210" s="74"/>
      <c r="H210" s="2"/>
    </row>
    <row r="211" spans="1:8" ht="20.100000000000001" customHeight="1" thickBot="1" x14ac:dyDescent="0.25">
      <c r="A211" s="193" t="s">
        <v>101</v>
      </c>
      <c r="B211" s="193"/>
      <c r="C211" s="193"/>
      <c r="D211" s="193"/>
      <c r="E211" s="193"/>
      <c r="F211" s="193"/>
      <c r="G211" s="193"/>
      <c r="H211" s="193"/>
    </row>
    <row r="212" spans="1:8" s="65" customFormat="1" ht="26.1" customHeight="1" thickBot="1" x14ac:dyDescent="0.25">
      <c r="A212" s="63" t="s">
        <v>28</v>
      </c>
      <c r="B212" s="64" t="s">
        <v>22</v>
      </c>
      <c r="C212" s="63" t="s">
        <v>23</v>
      </c>
      <c r="D212" s="63" t="s">
        <v>29</v>
      </c>
      <c r="E212" s="63" t="s">
        <v>30</v>
      </c>
      <c r="F212" s="63" t="s">
        <v>31</v>
      </c>
      <c r="G212" s="63" t="s">
        <v>32</v>
      </c>
      <c r="H212" s="63" t="s">
        <v>33</v>
      </c>
    </row>
    <row r="213" spans="1:8" ht="30" customHeight="1" x14ac:dyDescent="0.2">
      <c r="A213" s="78" t="s">
        <v>38</v>
      </c>
      <c r="B213" s="73">
        <v>1.64</v>
      </c>
      <c r="C213" s="77">
        <f>90.24+15.06</f>
        <v>105.3</v>
      </c>
      <c r="D213" s="77" t="str">
        <f t="shared" ref="D213" si="29">IF(B213 &lt; 300,"sim","nao")</f>
        <v>sim</v>
      </c>
      <c r="E213" s="2">
        <f t="shared" ref="E213" si="30">B213/5</f>
        <v>0.32799999999999996</v>
      </c>
      <c r="F213" s="73">
        <f t="shared" ref="F213" si="31">1+(14*B213)/300</f>
        <v>1.0765333333333333</v>
      </c>
      <c r="G213" s="77">
        <v>13.17</v>
      </c>
      <c r="H213" s="81" t="str">
        <f>IF(AND(G213&gt;=E213,C213&gt;=F213),"sim","não")</f>
        <v>sim</v>
      </c>
    </row>
    <row r="214" spans="1:8" s="75" customFormat="1" ht="9.9499999999999993" customHeight="1" x14ac:dyDescent="0.2">
      <c r="A214" s="72"/>
      <c r="B214" s="73"/>
      <c r="C214" s="77"/>
      <c r="D214" s="77"/>
      <c r="E214" s="2"/>
      <c r="F214" s="73"/>
      <c r="G214" s="74"/>
      <c r="H214" s="2"/>
    </row>
    <row r="215" spans="1:8" ht="20.100000000000001" customHeight="1" thickBot="1" x14ac:dyDescent="0.25">
      <c r="A215" s="193" t="s">
        <v>47</v>
      </c>
      <c r="B215" s="193"/>
      <c r="C215" s="193"/>
      <c r="D215" s="193"/>
      <c r="E215" s="193"/>
      <c r="F215" s="193"/>
      <c r="G215" s="193"/>
      <c r="H215" s="193"/>
    </row>
    <row r="216" spans="1:8" s="65" customFormat="1" ht="26.1" customHeight="1" thickBot="1" x14ac:dyDescent="0.25">
      <c r="A216" s="63" t="s">
        <v>28</v>
      </c>
      <c r="B216" s="64" t="s">
        <v>22</v>
      </c>
      <c r="C216" s="63" t="s">
        <v>23</v>
      </c>
      <c r="D216" s="63" t="s">
        <v>29</v>
      </c>
      <c r="E216" s="63" t="s">
        <v>30</v>
      </c>
      <c r="F216" s="63" t="s">
        <v>31</v>
      </c>
      <c r="G216" s="63" t="s">
        <v>32</v>
      </c>
      <c r="H216" s="63" t="s">
        <v>33</v>
      </c>
    </row>
    <row r="217" spans="1:8" ht="30" customHeight="1" x14ac:dyDescent="0.2">
      <c r="A217" s="1" t="s">
        <v>38</v>
      </c>
      <c r="B217" s="68">
        <v>18</v>
      </c>
      <c r="C217" s="49">
        <f>90.24+15.06</f>
        <v>105.3</v>
      </c>
      <c r="D217" s="49" t="str">
        <f t="shared" ref="D217" si="32">IF(B217 &lt; 300,"sim","nao")</f>
        <v>sim</v>
      </c>
      <c r="E217" s="50">
        <f t="shared" ref="E217" si="33">B217/5</f>
        <v>3.6</v>
      </c>
      <c r="F217" s="79">
        <f t="shared" ref="F217" si="34">1+(14*B217)/300</f>
        <v>1.8399999999999999</v>
      </c>
      <c r="G217" s="49">
        <v>13.17</v>
      </c>
      <c r="H217" s="81" t="str">
        <f t="shared" ref="H217" si="35">IF(AND(G217&gt;=E217,C217&gt;=F217),"sim","não")</f>
        <v>sim</v>
      </c>
    </row>
    <row r="218" spans="1:8" s="75" customFormat="1" ht="9.9499999999999993" customHeight="1" x14ac:dyDescent="0.2">
      <c r="A218" s="2"/>
      <c r="B218" s="73"/>
      <c r="C218" s="77"/>
      <c r="D218" s="77"/>
      <c r="F218" s="80"/>
      <c r="G218" s="77"/>
      <c r="H218" s="2"/>
    </row>
    <row r="219" spans="1:8" ht="20.100000000000001" customHeight="1" thickBot="1" x14ac:dyDescent="0.25">
      <c r="A219" s="199" t="s">
        <v>46</v>
      </c>
      <c r="B219" s="199"/>
      <c r="C219" s="199"/>
      <c r="D219" s="199"/>
      <c r="E219" s="199"/>
      <c r="F219" s="199"/>
      <c r="G219" s="199"/>
      <c r="H219" s="199"/>
    </row>
    <row r="220" spans="1:8" s="65" customFormat="1" ht="26.1" customHeight="1" thickBot="1" x14ac:dyDescent="0.25">
      <c r="A220" s="63" t="s">
        <v>28</v>
      </c>
      <c r="B220" s="64" t="s">
        <v>22</v>
      </c>
      <c r="C220" s="63" t="s">
        <v>23</v>
      </c>
      <c r="D220" s="63" t="s">
        <v>29</v>
      </c>
      <c r="E220" s="63" t="s">
        <v>30</v>
      </c>
      <c r="F220" s="63" t="s">
        <v>31</v>
      </c>
      <c r="G220" s="63" t="s">
        <v>32</v>
      </c>
      <c r="H220" s="63" t="s">
        <v>33</v>
      </c>
    </row>
    <row r="221" spans="1:8" ht="12" customHeight="1" x14ac:dyDescent="0.2">
      <c r="A221" s="1">
        <v>1</v>
      </c>
      <c r="B221" s="200">
        <v>243.66</v>
      </c>
      <c r="C221" s="201">
        <v>28</v>
      </c>
      <c r="D221" s="202" t="str">
        <f t="shared" ref="D221:D247" si="36">IF(B221 &lt; 300,"sim","nao")</f>
        <v>sim</v>
      </c>
      <c r="E221" s="203">
        <f>B221/5</f>
        <v>48.731999999999999</v>
      </c>
      <c r="F221" s="204">
        <f>1+(14*B221)/300</f>
        <v>12.370799999999999</v>
      </c>
      <c r="G221" s="205">
        <v>5</v>
      </c>
      <c r="H221" s="201" t="str">
        <f t="shared" ref="H221:H247" si="37">IF(AND(G221&gt;=E221,C221&gt;=F221),"sim","não")</f>
        <v>não</v>
      </c>
    </row>
    <row r="222" spans="1:8" ht="12" customHeight="1" x14ac:dyDescent="0.2">
      <c r="A222" s="70">
        <v>2</v>
      </c>
      <c r="B222" s="206">
        <v>240.71</v>
      </c>
      <c r="C222" s="201">
        <v>41</v>
      </c>
      <c r="D222" s="202" t="str">
        <f t="shared" si="36"/>
        <v>sim</v>
      </c>
      <c r="E222" s="203">
        <f t="shared" ref="E222:E247" si="38">B222/5</f>
        <v>48.142000000000003</v>
      </c>
      <c r="F222" s="204">
        <f t="shared" ref="F222:F247" si="39">1+(14*B222)/300</f>
        <v>12.233133333333333</v>
      </c>
      <c r="G222" s="205">
        <v>7</v>
      </c>
      <c r="H222" s="201" t="str">
        <f t="shared" si="37"/>
        <v>não</v>
      </c>
    </row>
    <row r="223" spans="1:8" ht="12" customHeight="1" x14ac:dyDescent="0.2">
      <c r="A223" s="70">
        <v>3</v>
      </c>
      <c r="B223" s="206">
        <v>137.32</v>
      </c>
      <c r="C223" s="201">
        <v>47</v>
      </c>
      <c r="D223" s="202" t="str">
        <f t="shared" si="36"/>
        <v>sim</v>
      </c>
      <c r="E223" s="203">
        <f t="shared" si="38"/>
        <v>27.463999999999999</v>
      </c>
      <c r="F223" s="204">
        <f t="shared" si="39"/>
        <v>7.408266666666667</v>
      </c>
      <c r="G223" s="205">
        <v>7</v>
      </c>
      <c r="H223" s="201" t="str">
        <f t="shared" si="37"/>
        <v>não</v>
      </c>
    </row>
    <row r="224" spans="1:8" ht="12" customHeight="1" x14ac:dyDescent="0.2">
      <c r="A224" s="70">
        <v>4</v>
      </c>
      <c r="B224" s="206">
        <v>289.95999999999998</v>
      </c>
      <c r="C224" s="201">
        <v>35</v>
      </c>
      <c r="D224" s="202" t="str">
        <f t="shared" si="36"/>
        <v>sim</v>
      </c>
      <c r="E224" s="203">
        <f t="shared" si="38"/>
        <v>57.991999999999997</v>
      </c>
      <c r="F224" s="204">
        <f t="shared" si="39"/>
        <v>14.531466666666665</v>
      </c>
      <c r="G224" s="206">
        <v>7</v>
      </c>
      <c r="H224" s="201" t="str">
        <f t="shared" si="37"/>
        <v>não</v>
      </c>
    </row>
    <row r="225" spans="1:8" ht="12" customHeight="1" x14ac:dyDescent="0.2">
      <c r="A225" s="70">
        <v>5</v>
      </c>
      <c r="B225" s="206">
        <v>200.08</v>
      </c>
      <c r="C225" s="201">
        <v>14</v>
      </c>
      <c r="D225" s="202" t="str">
        <f t="shared" si="36"/>
        <v>sim</v>
      </c>
      <c r="E225" s="203">
        <f t="shared" si="38"/>
        <v>40.016000000000005</v>
      </c>
      <c r="F225" s="204">
        <f t="shared" si="39"/>
        <v>10.337066666666669</v>
      </c>
      <c r="G225" s="206">
        <v>5</v>
      </c>
      <c r="H225" s="201" t="str">
        <f t="shared" si="37"/>
        <v>não</v>
      </c>
    </row>
    <row r="226" spans="1:8" ht="12" customHeight="1" x14ac:dyDescent="0.2">
      <c r="A226" s="70">
        <v>6</v>
      </c>
      <c r="B226" s="206">
        <v>98.33</v>
      </c>
      <c r="C226" s="201">
        <v>133</v>
      </c>
      <c r="D226" s="202" t="str">
        <f t="shared" si="36"/>
        <v>sim</v>
      </c>
      <c r="E226" s="203">
        <f t="shared" si="38"/>
        <v>19.666</v>
      </c>
      <c r="F226" s="204">
        <f t="shared" si="39"/>
        <v>5.5887333333333329</v>
      </c>
      <c r="G226" s="206">
        <v>10</v>
      </c>
      <c r="H226" s="201" t="str">
        <f t="shared" si="37"/>
        <v>não</v>
      </c>
    </row>
    <row r="227" spans="1:8" ht="12" customHeight="1" x14ac:dyDescent="0.2">
      <c r="A227" s="70">
        <v>7</v>
      </c>
      <c r="B227" s="206">
        <v>182.03</v>
      </c>
      <c r="C227" s="201">
        <v>78</v>
      </c>
      <c r="D227" s="202" t="str">
        <f t="shared" si="36"/>
        <v>sim</v>
      </c>
      <c r="E227" s="203">
        <f t="shared" si="38"/>
        <v>36.405999999999999</v>
      </c>
      <c r="F227" s="204">
        <f t="shared" si="39"/>
        <v>9.4947333333333344</v>
      </c>
      <c r="G227" s="206">
        <v>7</v>
      </c>
      <c r="H227" s="201" t="str">
        <f t="shared" si="37"/>
        <v>não</v>
      </c>
    </row>
    <row r="228" spans="1:8" ht="12" customHeight="1" x14ac:dyDescent="0.2">
      <c r="A228" s="70">
        <v>8</v>
      </c>
      <c r="B228" s="206">
        <v>89.62</v>
      </c>
      <c r="C228" s="201">
        <v>81</v>
      </c>
      <c r="D228" s="202" t="str">
        <f t="shared" si="36"/>
        <v>sim</v>
      </c>
      <c r="E228" s="203">
        <f t="shared" si="38"/>
        <v>17.923999999999999</v>
      </c>
      <c r="F228" s="204">
        <f t="shared" si="39"/>
        <v>5.182266666666667</v>
      </c>
      <c r="G228" s="206">
        <v>10</v>
      </c>
      <c r="H228" s="201" t="str">
        <f t="shared" si="37"/>
        <v>não</v>
      </c>
    </row>
    <row r="229" spans="1:8" ht="12" customHeight="1" x14ac:dyDescent="0.2">
      <c r="A229" s="70">
        <v>9</v>
      </c>
      <c r="B229" s="206">
        <v>166.4</v>
      </c>
      <c r="C229" s="201">
        <v>13</v>
      </c>
      <c r="D229" s="202" t="str">
        <f t="shared" si="36"/>
        <v>sim</v>
      </c>
      <c r="E229" s="203">
        <f t="shared" si="38"/>
        <v>33.28</v>
      </c>
      <c r="F229" s="204">
        <f t="shared" si="39"/>
        <v>8.7653333333333343</v>
      </c>
      <c r="G229" s="206">
        <v>3</v>
      </c>
      <c r="H229" s="201" t="str">
        <f t="shared" si="37"/>
        <v>não</v>
      </c>
    </row>
    <row r="230" spans="1:8" ht="12" customHeight="1" x14ac:dyDescent="0.2">
      <c r="A230" s="70">
        <v>10</v>
      </c>
      <c r="B230" s="200">
        <v>96.6</v>
      </c>
      <c r="C230" s="201">
        <v>133</v>
      </c>
      <c r="D230" s="202" t="str">
        <f t="shared" si="36"/>
        <v>sim</v>
      </c>
      <c r="E230" s="203">
        <f t="shared" si="38"/>
        <v>19.32</v>
      </c>
      <c r="F230" s="204">
        <f t="shared" si="39"/>
        <v>5.5079999999999991</v>
      </c>
      <c r="G230" s="206">
        <f>'Altura final da Chaminés'!E20</f>
        <v>9.1930000000000049</v>
      </c>
      <c r="H230" s="201" t="str">
        <f t="shared" si="37"/>
        <v>não</v>
      </c>
    </row>
    <row r="231" spans="1:8" ht="12" customHeight="1" x14ac:dyDescent="0.2">
      <c r="A231" s="70">
        <v>11</v>
      </c>
      <c r="B231" s="206">
        <v>64.02</v>
      </c>
      <c r="C231" s="201">
        <v>210</v>
      </c>
      <c r="D231" s="202" t="str">
        <f t="shared" si="36"/>
        <v>sim</v>
      </c>
      <c r="E231" s="203">
        <f t="shared" si="38"/>
        <v>12.803999999999998</v>
      </c>
      <c r="F231" s="204">
        <f t="shared" si="39"/>
        <v>3.9876</v>
      </c>
      <c r="G231" s="206">
        <v>10</v>
      </c>
      <c r="H231" s="201" t="str">
        <f t="shared" si="37"/>
        <v>não</v>
      </c>
    </row>
    <row r="232" spans="1:8" ht="12" customHeight="1" x14ac:dyDescent="0.2">
      <c r="A232" s="70">
        <v>12</v>
      </c>
      <c r="B232" s="206">
        <v>183.41</v>
      </c>
      <c r="C232" s="201">
        <v>27</v>
      </c>
      <c r="D232" s="202" t="str">
        <f t="shared" si="36"/>
        <v>sim</v>
      </c>
      <c r="E232" s="203">
        <f t="shared" si="38"/>
        <v>36.682000000000002</v>
      </c>
      <c r="F232" s="204">
        <f t="shared" si="39"/>
        <v>9.5591333333333335</v>
      </c>
      <c r="G232" s="206">
        <v>3</v>
      </c>
      <c r="H232" s="201" t="str">
        <f t="shared" si="37"/>
        <v>não</v>
      </c>
    </row>
    <row r="233" spans="1:8" ht="12" customHeight="1" x14ac:dyDescent="0.2">
      <c r="A233" s="70">
        <v>13</v>
      </c>
      <c r="B233" s="206">
        <v>249.52</v>
      </c>
      <c r="C233" s="201">
        <v>132</v>
      </c>
      <c r="D233" s="202" t="str">
        <f t="shared" si="36"/>
        <v>sim</v>
      </c>
      <c r="E233" s="203">
        <f t="shared" si="38"/>
        <v>49.904000000000003</v>
      </c>
      <c r="F233" s="204">
        <f t="shared" si="39"/>
        <v>12.644266666666667</v>
      </c>
      <c r="G233" s="206">
        <v>7</v>
      </c>
      <c r="H233" s="201" t="str">
        <f t="shared" si="37"/>
        <v>não</v>
      </c>
    </row>
    <row r="234" spans="1:8" ht="12" customHeight="1" x14ac:dyDescent="0.2">
      <c r="A234" s="70">
        <v>14</v>
      </c>
      <c r="B234" s="206">
        <v>227.05</v>
      </c>
      <c r="C234" s="201">
        <v>66</v>
      </c>
      <c r="D234" s="202" t="str">
        <f t="shared" si="36"/>
        <v>sim</v>
      </c>
      <c r="E234" s="203">
        <f t="shared" si="38"/>
        <v>45.410000000000004</v>
      </c>
      <c r="F234" s="204">
        <f t="shared" si="39"/>
        <v>11.595666666666668</v>
      </c>
      <c r="G234" s="206">
        <v>10</v>
      </c>
      <c r="H234" s="201" t="str">
        <f t="shared" si="37"/>
        <v>não</v>
      </c>
    </row>
    <row r="235" spans="1:8" ht="12" customHeight="1" x14ac:dyDescent="0.2">
      <c r="A235" s="70">
        <v>15</v>
      </c>
      <c r="B235" s="206">
        <v>219.01</v>
      </c>
      <c r="C235" s="201">
        <v>7</v>
      </c>
      <c r="D235" s="202" t="str">
        <f t="shared" si="36"/>
        <v>sim</v>
      </c>
      <c r="E235" s="203">
        <f t="shared" si="38"/>
        <v>43.802</v>
      </c>
      <c r="F235" s="204">
        <f t="shared" si="39"/>
        <v>11.220466666666667</v>
      </c>
      <c r="G235" s="206">
        <v>3</v>
      </c>
      <c r="H235" s="201" t="str">
        <f t="shared" si="37"/>
        <v>não</v>
      </c>
    </row>
    <row r="236" spans="1:8" ht="12" customHeight="1" x14ac:dyDescent="0.2">
      <c r="A236" s="70">
        <v>16</v>
      </c>
      <c r="B236" s="206">
        <v>264.23</v>
      </c>
      <c r="C236" s="201">
        <v>121</v>
      </c>
      <c r="D236" s="202" t="str">
        <f t="shared" si="36"/>
        <v>sim</v>
      </c>
      <c r="E236" s="203">
        <f t="shared" si="38"/>
        <v>52.846000000000004</v>
      </c>
      <c r="F236" s="204">
        <f t="shared" si="39"/>
        <v>13.330733333333335</v>
      </c>
      <c r="G236" s="206">
        <v>10</v>
      </c>
      <c r="H236" s="201" t="str">
        <f t="shared" si="37"/>
        <v>não</v>
      </c>
    </row>
    <row r="237" spans="1:8" ht="12" customHeight="1" x14ac:dyDescent="0.2">
      <c r="A237" s="70">
        <v>17</v>
      </c>
      <c r="B237" s="206">
        <v>245.3</v>
      </c>
      <c r="C237" s="201">
        <v>20</v>
      </c>
      <c r="D237" s="202" t="str">
        <f t="shared" si="36"/>
        <v>sim</v>
      </c>
      <c r="E237" s="203">
        <f t="shared" si="38"/>
        <v>49.06</v>
      </c>
      <c r="F237" s="204">
        <f t="shared" si="39"/>
        <v>12.447333333333335</v>
      </c>
      <c r="G237" s="206">
        <v>7</v>
      </c>
      <c r="H237" s="201" t="str">
        <f t="shared" si="37"/>
        <v>não</v>
      </c>
    </row>
    <row r="238" spans="1:8" ht="12" customHeight="1" x14ac:dyDescent="0.2">
      <c r="A238" s="70">
        <v>18</v>
      </c>
      <c r="B238" s="206">
        <v>244.61</v>
      </c>
      <c r="C238" s="201">
        <v>20</v>
      </c>
      <c r="D238" s="202" t="str">
        <f t="shared" si="36"/>
        <v>sim</v>
      </c>
      <c r="E238" s="203">
        <f t="shared" si="38"/>
        <v>48.922000000000004</v>
      </c>
      <c r="F238" s="204">
        <f t="shared" si="39"/>
        <v>12.415133333333333</v>
      </c>
      <c r="G238" s="206">
        <v>7</v>
      </c>
      <c r="H238" s="201" t="str">
        <f t="shared" si="37"/>
        <v>não</v>
      </c>
    </row>
    <row r="239" spans="1:8" ht="12" customHeight="1" x14ac:dyDescent="0.2">
      <c r="A239" s="70">
        <v>19</v>
      </c>
      <c r="B239" s="206">
        <v>251.75</v>
      </c>
      <c r="C239" s="201">
        <v>20</v>
      </c>
      <c r="D239" s="202" t="str">
        <f t="shared" si="36"/>
        <v>sim</v>
      </c>
      <c r="E239" s="203">
        <f t="shared" si="38"/>
        <v>50.35</v>
      </c>
      <c r="F239" s="204">
        <f t="shared" si="39"/>
        <v>12.748333333333333</v>
      </c>
      <c r="G239" s="206">
        <v>7</v>
      </c>
      <c r="H239" s="201" t="str">
        <f t="shared" si="37"/>
        <v>não</v>
      </c>
    </row>
    <row r="240" spans="1:8" ht="12" customHeight="1" x14ac:dyDescent="0.2">
      <c r="A240" s="70">
        <v>20</v>
      </c>
      <c r="B240" s="206">
        <v>248.53</v>
      </c>
      <c r="C240" s="201">
        <v>20</v>
      </c>
      <c r="D240" s="202" t="str">
        <f t="shared" si="36"/>
        <v>sim</v>
      </c>
      <c r="E240" s="203">
        <f t="shared" si="38"/>
        <v>49.706000000000003</v>
      </c>
      <c r="F240" s="204">
        <f t="shared" si="39"/>
        <v>12.598066666666666</v>
      </c>
      <c r="G240" s="206">
        <v>7</v>
      </c>
      <c r="H240" s="201" t="str">
        <f t="shared" si="37"/>
        <v>não</v>
      </c>
    </row>
    <row r="241" spans="1:8" ht="12" customHeight="1" x14ac:dyDescent="0.2">
      <c r="A241" s="70">
        <v>21</v>
      </c>
      <c r="B241" s="206">
        <v>229.9</v>
      </c>
      <c r="C241" s="201">
        <v>20</v>
      </c>
      <c r="D241" s="202" t="str">
        <f t="shared" si="36"/>
        <v>sim</v>
      </c>
      <c r="E241" s="203">
        <f t="shared" si="38"/>
        <v>45.980000000000004</v>
      </c>
      <c r="F241" s="204">
        <f t="shared" si="39"/>
        <v>11.728666666666667</v>
      </c>
      <c r="G241" s="206">
        <v>7</v>
      </c>
      <c r="H241" s="201" t="str">
        <f t="shared" si="37"/>
        <v>não</v>
      </c>
    </row>
    <row r="242" spans="1:8" ht="12" customHeight="1" x14ac:dyDescent="0.2">
      <c r="A242" s="70">
        <v>22</v>
      </c>
      <c r="B242" s="206">
        <v>229.63</v>
      </c>
      <c r="C242" s="201">
        <v>20</v>
      </c>
      <c r="D242" s="202" t="str">
        <f t="shared" si="36"/>
        <v>sim</v>
      </c>
      <c r="E242" s="203">
        <f t="shared" si="38"/>
        <v>45.926000000000002</v>
      </c>
      <c r="F242" s="204">
        <f t="shared" si="39"/>
        <v>11.716066666666666</v>
      </c>
      <c r="G242" s="206">
        <v>7</v>
      </c>
      <c r="H242" s="201" t="str">
        <f t="shared" si="37"/>
        <v>não</v>
      </c>
    </row>
    <row r="243" spans="1:8" ht="12" customHeight="1" x14ac:dyDescent="0.2">
      <c r="A243" s="70">
        <v>23</v>
      </c>
      <c r="B243" s="206">
        <v>236.92</v>
      </c>
      <c r="C243" s="201">
        <v>20</v>
      </c>
      <c r="D243" s="202" t="str">
        <f t="shared" si="36"/>
        <v>sim</v>
      </c>
      <c r="E243" s="203">
        <f t="shared" si="38"/>
        <v>47.384</v>
      </c>
      <c r="F243" s="204">
        <f t="shared" si="39"/>
        <v>12.056266666666666</v>
      </c>
      <c r="G243" s="206">
        <v>7</v>
      </c>
      <c r="H243" s="201" t="str">
        <f t="shared" si="37"/>
        <v>não</v>
      </c>
    </row>
    <row r="244" spans="1:8" ht="12" customHeight="1" x14ac:dyDescent="0.2">
      <c r="A244" s="70">
        <v>24</v>
      </c>
      <c r="B244" s="206">
        <v>232.12</v>
      </c>
      <c r="C244" s="201">
        <v>20</v>
      </c>
      <c r="D244" s="202" t="str">
        <f t="shared" si="36"/>
        <v>sim</v>
      </c>
      <c r="E244" s="203">
        <f t="shared" si="38"/>
        <v>46.423999999999999</v>
      </c>
      <c r="F244" s="204">
        <f t="shared" si="39"/>
        <v>11.832266666666667</v>
      </c>
      <c r="G244" s="206">
        <v>7</v>
      </c>
      <c r="H244" s="201" t="str">
        <f t="shared" si="37"/>
        <v>não</v>
      </c>
    </row>
    <row r="245" spans="1:8" ht="12" customHeight="1" x14ac:dyDescent="0.2">
      <c r="A245" s="70">
        <v>25</v>
      </c>
      <c r="B245" s="206">
        <v>257.62</v>
      </c>
      <c r="C245" s="201">
        <v>73</v>
      </c>
      <c r="D245" s="202" t="str">
        <f t="shared" si="36"/>
        <v>sim</v>
      </c>
      <c r="E245" s="203">
        <f t="shared" si="38"/>
        <v>51.524000000000001</v>
      </c>
      <c r="F245" s="204">
        <f t="shared" si="39"/>
        <v>13.022266666666667</v>
      </c>
      <c r="G245" s="206">
        <v>7</v>
      </c>
      <c r="H245" s="201" t="str">
        <f t="shared" si="37"/>
        <v>não</v>
      </c>
    </row>
    <row r="246" spans="1:8" ht="12" customHeight="1" x14ac:dyDescent="0.2">
      <c r="A246" s="70">
        <v>26</v>
      </c>
      <c r="B246" s="206">
        <v>244.09</v>
      </c>
      <c r="C246" s="201">
        <v>75</v>
      </c>
      <c r="D246" s="202" t="str">
        <f t="shared" si="36"/>
        <v>sim</v>
      </c>
      <c r="E246" s="203">
        <f t="shared" si="38"/>
        <v>48.817999999999998</v>
      </c>
      <c r="F246" s="204">
        <f t="shared" si="39"/>
        <v>12.390866666666668</v>
      </c>
      <c r="G246" s="206">
        <v>7</v>
      </c>
      <c r="H246" s="201" t="str">
        <f t="shared" si="37"/>
        <v>não</v>
      </c>
    </row>
    <row r="247" spans="1:8" ht="30" customHeight="1" x14ac:dyDescent="0.2">
      <c r="A247" s="71" t="s">
        <v>39</v>
      </c>
      <c r="B247" s="200">
        <v>6.98</v>
      </c>
      <c r="C247" s="202">
        <f>90.24+15.06</f>
        <v>105.3</v>
      </c>
      <c r="D247" s="202" t="str">
        <f t="shared" si="36"/>
        <v>sim</v>
      </c>
      <c r="E247" s="203">
        <f t="shared" si="38"/>
        <v>1.3960000000000001</v>
      </c>
      <c r="F247" s="204">
        <f t="shared" si="39"/>
        <v>1.3257333333333334</v>
      </c>
      <c r="G247" s="200">
        <f>'Altura final da Chaminés'!E17</f>
        <v>13.17</v>
      </c>
      <c r="H247" s="81" t="str">
        <f t="shared" si="37"/>
        <v>sim</v>
      </c>
    </row>
    <row r="249" spans="1:8" ht="12" thickBot="1" x14ac:dyDescent="0.25">
      <c r="A249" s="211" t="s">
        <v>104</v>
      </c>
      <c r="B249" s="211"/>
      <c r="C249" s="211"/>
      <c r="D249" s="211"/>
      <c r="E249" s="211"/>
      <c r="F249" s="211"/>
      <c r="G249" s="211"/>
      <c r="H249" s="211"/>
    </row>
    <row r="250" spans="1:8" ht="23.25" thickBot="1" x14ac:dyDescent="0.25">
      <c r="A250" s="63" t="s">
        <v>28</v>
      </c>
      <c r="B250" s="64" t="s">
        <v>22</v>
      </c>
      <c r="C250" s="63" t="s">
        <v>23</v>
      </c>
      <c r="D250" s="63" t="s">
        <v>29</v>
      </c>
      <c r="E250" s="63" t="s">
        <v>30</v>
      </c>
      <c r="F250" s="63" t="s">
        <v>31</v>
      </c>
      <c r="G250" s="63" t="s">
        <v>32</v>
      </c>
      <c r="H250" s="63" t="s">
        <v>33</v>
      </c>
    </row>
    <row r="251" spans="1:8" ht="22.5" x14ac:dyDescent="0.2">
      <c r="A251" s="1" t="s">
        <v>39</v>
      </c>
      <c r="B251" s="207">
        <v>29.95</v>
      </c>
      <c r="C251" s="208">
        <f>90.24+15.06</f>
        <v>105.3</v>
      </c>
      <c r="D251" s="208" t="str">
        <f t="shared" ref="D251" si="40">IF(B251 &lt; 300,"sim","nao")</f>
        <v>sim</v>
      </c>
      <c r="E251" s="209">
        <f t="shared" ref="E251" si="41">B251/5</f>
        <v>5.99</v>
      </c>
      <c r="F251" s="210">
        <f t="shared" ref="F251" si="42">1+(14*B251)/300</f>
        <v>2.3976666666666668</v>
      </c>
      <c r="G251" s="208">
        <v>13.17</v>
      </c>
      <c r="H251" s="81" t="str">
        <f t="shared" ref="H251" si="43">IF(AND(G251&gt;=E251,C251&gt;=F251),"sim","não")</f>
        <v>sim</v>
      </c>
    </row>
    <row r="253" spans="1:8" ht="12" thickBot="1" x14ac:dyDescent="0.25">
      <c r="A253" s="211" t="s">
        <v>105</v>
      </c>
      <c r="B253" s="211"/>
      <c r="C253" s="211"/>
      <c r="D253" s="211"/>
      <c r="E253" s="211"/>
      <c r="F253" s="211"/>
      <c r="G253" s="211"/>
      <c r="H253" s="211"/>
    </row>
    <row r="254" spans="1:8" ht="23.25" thickBot="1" x14ac:dyDescent="0.25">
      <c r="A254" s="63" t="s">
        <v>28</v>
      </c>
      <c r="B254" s="64" t="s">
        <v>22</v>
      </c>
      <c r="C254" s="63" t="s">
        <v>23</v>
      </c>
      <c r="D254" s="63" t="s">
        <v>29</v>
      </c>
      <c r="E254" s="63" t="s">
        <v>30</v>
      </c>
      <c r="F254" s="63" t="s">
        <v>31</v>
      </c>
      <c r="G254" s="63" t="s">
        <v>32</v>
      </c>
      <c r="H254" s="63" t="s">
        <v>33</v>
      </c>
    </row>
    <row r="255" spans="1:8" ht="22.5" x14ac:dyDescent="0.2">
      <c r="A255" s="1" t="s">
        <v>39</v>
      </c>
      <c r="B255" s="207">
        <v>33.979999999999997</v>
      </c>
      <c r="C255" s="208">
        <f>90.24+15.06</f>
        <v>105.3</v>
      </c>
      <c r="D255" s="208" t="str">
        <f t="shared" ref="D255" si="44">IF(B255 &lt; 300,"sim","nao")</f>
        <v>sim</v>
      </c>
      <c r="E255" s="209">
        <f t="shared" ref="E255" si="45">B255/5</f>
        <v>6.7959999999999994</v>
      </c>
      <c r="F255" s="210">
        <f t="shared" ref="F255" si="46">1+(14*B255)/300</f>
        <v>2.5857333333333332</v>
      </c>
      <c r="G255" s="208">
        <v>13.17</v>
      </c>
      <c r="H255" s="81" t="str">
        <f t="shared" ref="H255" si="47">IF(AND(G255&gt;=E255,C255&gt;=F255),"sim","não")</f>
        <v>sim</v>
      </c>
    </row>
  </sheetData>
  <mergeCells count="12">
    <mergeCell ref="A249:H249"/>
    <mergeCell ref="A253:H253"/>
    <mergeCell ref="A91:H91"/>
    <mergeCell ref="A61:H61"/>
    <mergeCell ref="A31:H31"/>
    <mergeCell ref="A1:H1"/>
    <mergeCell ref="A219:H219"/>
    <mergeCell ref="A215:H215"/>
    <mergeCell ref="A211:H211"/>
    <mergeCell ref="A181:H181"/>
    <mergeCell ref="A151:H151"/>
    <mergeCell ref="A121:H121"/>
  </mergeCells>
  <conditionalFormatting sqref="D33:D60">
    <cfRule type="expression" dxfId="5" priority="2">
      <formula>"""não"""</formula>
    </cfRule>
  </conditionalFormatting>
  <conditionalFormatting sqref="H3:H30">
    <cfRule type="expression" dxfId="4" priority="7">
      <formula>$H$3:$H$31="sim"</formula>
    </cfRule>
  </conditionalFormatting>
  <pageMargins left="0.51181102362204722" right="0.74803149606299213" top="0.59055118110236227" bottom="0.31496062992125984" header="0.23622047244094491" footer="0"/>
  <pageSetup paperSize="9" orientation="landscape" horizontalDpi="4294967293" r:id="rId1"/>
  <headerFooter alignWithMargins="0">
    <oddHeader>&amp;C&amp;"Tahoma,Normal"&amp;11Dependência do Obstáculo</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4"/>
  <dimension ref="A1:H14"/>
  <sheetViews>
    <sheetView workbookViewId="0"/>
  </sheetViews>
  <sheetFormatPr defaultRowHeight="12" x14ac:dyDescent="0.2"/>
  <cols>
    <col min="1" max="1" width="26.7109375" style="20" customWidth="1"/>
    <col min="2" max="2" width="21" style="3" customWidth="1"/>
    <col min="3" max="3" width="23.7109375" style="20" customWidth="1"/>
    <col min="4" max="4" width="15.28515625" style="3" customWidth="1"/>
    <col min="5" max="5" width="16.7109375" style="20" customWidth="1"/>
    <col min="6" max="6" width="14" style="20" customWidth="1"/>
    <col min="7" max="7" width="9.85546875" style="20" customWidth="1"/>
    <col min="8" max="8" width="10" style="3" customWidth="1"/>
    <col min="9" max="9" width="20.5703125" style="30" bestFit="1" customWidth="1"/>
    <col min="10" max="16384" width="9.140625" style="30"/>
  </cols>
  <sheetData>
    <row r="1" spans="1:8" s="47" customFormat="1" ht="39.950000000000003" customHeight="1" thickBot="1" x14ac:dyDescent="0.25">
      <c r="A1" s="113" t="s">
        <v>1</v>
      </c>
      <c r="B1" s="112" t="s">
        <v>62</v>
      </c>
      <c r="C1" s="112" t="s">
        <v>63</v>
      </c>
      <c r="D1" s="113" t="s">
        <v>64</v>
      </c>
      <c r="E1" s="112" t="s">
        <v>65</v>
      </c>
    </row>
    <row r="2" spans="1:8" s="52" customFormat="1" ht="20.100000000000001" customHeight="1" x14ac:dyDescent="0.2">
      <c r="A2" s="4" t="s">
        <v>49</v>
      </c>
      <c r="B2" s="95">
        <v>1.46</v>
      </c>
      <c r="C2" s="96">
        <f>90.24+15.06</f>
        <v>105.3</v>
      </c>
      <c r="D2" s="97">
        <v>13.17</v>
      </c>
      <c r="E2" s="98">
        <f>D2+3-((2*B2)/(5*D2))</f>
        <v>16.125656795747915</v>
      </c>
    </row>
    <row r="3" spans="1:8" ht="20.100000000000001" customHeight="1" x14ac:dyDescent="0.2">
      <c r="A3" s="7" t="s">
        <v>50</v>
      </c>
      <c r="B3" s="99">
        <v>4.08</v>
      </c>
      <c r="C3" s="115">
        <f t="shared" ref="C3:C10" si="0">90.24+15.06</f>
        <v>105.3</v>
      </c>
      <c r="D3" s="31">
        <v>13.17</v>
      </c>
      <c r="E3" s="51">
        <f t="shared" ref="E3:E13" si="1">D3+3-((2*B3)/(5*D3))</f>
        <v>16.04608200455581</v>
      </c>
      <c r="F3" s="30"/>
      <c r="G3" s="30"/>
      <c r="H3" s="30"/>
    </row>
    <row r="4" spans="1:8" ht="20.100000000000001" customHeight="1" x14ac:dyDescent="0.2">
      <c r="A4" s="7" t="s">
        <v>51</v>
      </c>
      <c r="B4" s="99">
        <v>2.76</v>
      </c>
      <c r="C4" s="115">
        <f t="shared" si="0"/>
        <v>105.3</v>
      </c>
      <c r="D4" s="31">
        <v>13.17</v>
      </c>
      <c r="E4" s="51">
        <f t="shared" si="1"/>
        <v>16.08617312072893</v>
      </c>
      <c r="F4" s="30"/>
      <c r="G4" s="30"/>
      <c r="H4" s="30"/>
    </row>
    <row r="5" spans="1:8" ht="20.100000000000001" customHeight="1" x14ac:dyDescent="0.2">
      <c r="A5" s="7" t="s">
        <v>52</v>
      </c>
      <c r="B5" s="99">
        <v>7.17</v>
      </c>
      <c r="C5" s="115">
        <f t="shared" si="0"/>
        <v>105.3</v>
      </c>
      <c r="D5" s="31">
        <v>13.17</v>
      </c>
      <c r="E5" s="51">
        <f t="shared" si="1"/>
        <v>15.952232346241459</v>
      </c>
      <c r="F5" s="30"/>
      <c r="G5" s="30"/>
      <c r="H5" s="30"/>
    </row>
    <row r="6" spans="1:8" ht="20.100000000000001" customHeight="1" x14ac:dyDescent="0.2">
      <c r="A6" s="7" t="s">
        <v>40</v>
      </c>
      <c r="B6" s="99">
        <v>5.67</v>
      </c>
      <c r="C6" s="115">
        <f t="shared" si="0"/>
        <v>105.3</v>
      </c>
      <c r="D6" s="31">
        <v>13.17</v>
      </c>
      <c r="E6" s="51">
        <f t="shared" si="1"/>
        <v>15.997790432801825</v>
      </c>
      <c r="F6" s="30"/>
      <c r="G6" s="30"/>
      <c r="H6" s="30"/>
    </row>
    <row r="7" spans="1:8" ht="20.100000000000001" customHeight="1" x14ac:dyDescent="0.2">
      <c r="A7" s="7" t="s">
        <v>41</v>
      </c>
      <c r="B7" s="99">
        <v>26.32</v>
      </c>
      <c r="C7" s="115">
        <f t="shared" si="0"/>
        <v>105.3</v>
      </c>
      <c r="D7" s="31">
        <v>13.17</v>
      </c>
      <c r="E7" s="51">
        <f t="shared" si="1"/>
        <v>15.37060744115414</v>
      </c>
      <c r="F7" s="30"/>
      <c r="G7" s="30"/>
      <c r="H7" s="30"/>
    </row>
    <row r="8" spans="1:8" ht="20.100000000000001" customHeight="1" x14ac:dyDescent="0.2">
      <c r="A8" s="7" t="s">
        <v>42</v>
      </c>
      <c r="B8" s="99">
        <v>31.18</v>
      </c>
      <c r="C8" s="115">
        <f t="shared" si="0"/>
        <v>105.3</v>
      </c>
      <c r="D8" s="31">
        <v>13.17</v>
      </c>
      <c r="E8" s="51">
        <f t="shared" si="1"/>
        <v>15.222999240698559</v>
      </c>
      <c r="F8" s="30"/>
      <c r="G8" s="30"/>
      <c r="H8" s="30"/>
    </row>
    <row r="9" spans="1:8" ht="20.100000000000001" customHeight="1" x14ac:dyDescent="0.2">
      <c r="A9" s="26" t="s">
        <v>53</v>
      </c>
      <c r="B9" s="99">
        <v>1.64</v>
      </c>
      <c r="C9" s="115">
        <f t="shared" si="0"/>
        <v>105.3</v>
      </c>
      <c r="D9" s="31">
        <v>13.17</v>
      </c>
      <c r="E9" s="51">
        <f t="shared" si="1"/>
        <v>16.120189825360669</v>
      </c>
      <c r="F9" s="53"/>
    </row>
    <row r="10" spans="1:8" ht="20.100000000000001" customHeight="1" x14ac:dyDescent="0.2">
      <c r="A10" s="26" t="s">
        <v>43</v>
      </c>
      <c r="B10" s="100">
        <v>18</v>
      </c>
      <c r="C10" s="115">
        <f t="shared" si="0"/>
        <v>105.3</v>
      </c>
      <c r="D10" s="46">
        <v>13.17</v>
      </c>
      <c r="E10" s="54">
        <f t="shared" si="1"/>
        <v>15.623302961275629</v>
      </c>
    </row>
    <row r="11" spans="1:8" ht="20.100000000000001" customHeight="1" x14ac:dyDescent="0.2">
      <c r="A11" s="116" t="s">
        <v>54</v>
      </c>
      <c r="B11" s="131">
        <f>'Obstaculo próx.'!B247</f>
        <v>6.98</v>
      </c>
      <c r="C11" s="127">
        <v>105.3</v>
      </c>
      <c r="D11" s="132">
        <f>'Obstaculo próx.'!G247</f>
        <v>13.17</v>
      </c>
      <c r="E11" s="149">
        <f t="shared" si="1"/>
        <v>15.958003037205772</v>
      </c>
    </row>
    <row r="12" spans="1:8" ht="20.100000000000001" customHeight="1" x14ac:dyDescent="0.2">
      <c r="A12" s="116" t="s">
        <v>99</v>
      </c>
      <c r="B12" s="131">
        <v>29.95</v>
      </c>
      <c r="C12" s="127">
        <v>105.3</v>
      </c>
      <c r="D12" s="132">
        <v>13.17</v>
      </c>
      <c r="E12" s="149">
        <f t="shared" si="1"/>
        <v>15.260356871678058</v>
      </c>
    </row>
    <row r="13" spans="1:8" ht="20.100000000000001" customHeight="1" thickBot="1" x14ac:dyDescent="0.25">
      <c r="A13" s="119" t="s">
        <v>100</v>
      </c>
      <c r="B13" s="138">
        <v>33.979999999999997</v>
      </c>
      <c r="C13" s="121">
        <v>105.3</v>
      </c>
      <c r="D13" s="139">
        <v>13.17</v>
      </c>
      <c r="E13" s="150">
        <f t="shared" si="1"/>
        <v>15.137957479119212</v>
      </c>
    </row>
    <row r="14" spans="1:8" ht="20.100000000000001" customHeight="1" x14ac:dyDescent="0.2"/>
  </sheetData>
  <phoneticPr fontId="0" type="noConversion"/>
  <pageMargins left="0.52" right="0.75" top="0.59" bottom="0.3" header="0.22" footer="0"/>
  <pageSetup paperSize="9" orientation="landscape" horizontalDpi="4294967293" verticalDpi="4294967293" r:id="rId1"/>
  <headerFooter alignWithMargins="0">
    <oddHeader>&amp;C&amp;"Tahoma,Normal"&amp;11Dependência do Obstáculo</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3"/>
  <sheetViews>
    <sheetView tabSelected="1" workbookViewId="0">
      <selection activeCell="F19" sqref="F19"/>
    </sheetView>
  </sheetViews>
  <sheetFormatPr defaultRowHeight="12" x14ac:dyDescent="0.2"/>
  <cols>
    <col min="1" max="1" width="9.140625" style="20"/>
    <col min="2" max="3" width="9.140625" style="31"/>
    <col min="4" max="4" width="26.7109375" style="31" customWidth="1"/>
    <col min="5" max="6" width="14.7109375" style="3" customWidth="1"/>
    <col min="7" max="8" width="14.7109375" style="20" customWidth="1"/>
    <col min="9" max="9" width="11.85546875" style="20" customWidth="1"/>
    <col min="10" max="10" width="14.7109375" style="20" customWidth="1"/>
    <col min="11" max="11" width="12.7109375" style="20" customWidth="1"/>
    <col min="12" max="14" width="9.140625" style="20"/>
    <col min="15" max="15" width="23.7109375" style="20" bestFit="1" customWidth="1"/>
    <col min="16" max="16" width="9.140625" style="20"/>
    <col min="17" max="17" width="14.85546875" style="20" bestFit="1" customWidth="1"/>
    <col min="18" max="16384" width="9.140625" style="20"/>
  </cols>
  <sheetData>
    <row r="1" spans="2:17" ht="20.100000000000001" customHeight="1" x14ac:dyDescent="0.2">
      <c r="B1" s="21"/>
      <c r="C1" s="21"/>
      <c r="D1" s="177" t="s">
        <v>6</v>
      </c>
      <c r="E1" s="177" t="s">
        <v>44</v>
      </c>
      <c r="F1" s="170" t="s">
        <v>0</v>
      </c>
      <c r="G1" s="170" t="s">
        <v>7</v>
      </c>
      <c r="H1" s="170" t="s">
        <v>117</v>
      </c>
      <c r="J1" s="215" t="s">
        <v>77</v>
      </c>
      <c r="K1" s="216"/>
      <c r="L1" s="55"/>
      <c r="O1" s="194"/>
      <c r="P1" s="194"/>
      <c r="Q1" s="194"/>
    </row>
    <row r="2" spans="2:17" ht="20.100000000000001" customHeight="1" thickBot="1" x14ac:dyDescent="0.25">
      <c r="B2" s="21"/>
      <c r="C2" s="56"/>
      <c r="D2" s="213"/>
      <c r="E2" s="213"/>
      <c r="F2" s="214"/>
      <c r="G2" s="214"/>
      <c r="H2" s="214"/>
      <c r="J2" s="217" t="s">
        <v>34</v>
      </c>
      <c r="K2" s="218" t="s">
        <v>35</v>
      </c>
      <c r="L2" s="55"/>
      <c r="O2" s="194"/>
      <c r="P2" s="194"/>
      <c r="Q2" s="194"/>
    </row>
    <row r="3" spans="2:17" ht="20.100000000000001" customHeight="1" x14ac:dyDescent="0.2">
      <c r="B3" s="21"/>
      <c r="C3" s="21"/>
      <c r="D3" s="4" t="s">
        <v>49</v>
      </c>
      <c r="E3" s="91">
        <v>1532</v>
      </c>
      <c r="F3" s="92">
        <f>'Hc(dependência do  obstáculo)'!E2</f>
        <v>16.125656795747915</v>
      </c>
      <c r="G3" s="92">
        <f>'Hp(Dependência de Chaminés)'!J3</f>
        <v>6.5935993758972495</v>
      </c>
      <c r="H3" s="92">
        <f>MAX(F3:G3)</f>
        <v>16.125656795747915</v>
      </c>
      <c r="J3" s="92">
        <f>'Distância de Chaminés '!B17</f>
        <v>16.36</v>
      </c>
      <c r="K3" s="94" t="str">
        <f>IF(AND(J3&gt;H3, J3&gt;$E$21),"OK","NOK")</f>
        <v>OK</v>
      </c>
      <c r="L3" s="10"/>
      <c r="O3" s="21"/>
      <c r="P3" s="21"/>
      <c r="Q3" s="45"/>
    </row>
    <row r="4" spans="2:17" ht="20.100000000000001" customHeight="1" x14ac:dyDescent="0.2">
      <c r="B4" s="21"/>
      <c r="C4" s="21"/>
      <c r="D4" s="7" t="s">
        <v>50</v>
      </c>
      <c r="E4" s="57">
        <v>1533</v>
      </c>
      <c r="F4" s="93">
        <f>'Hc(dependência do  obstáculo)'!E3</f>
        <v>16.04608200455581</v>
      </c>
      <c r="G4" s="93">
        <f>'Hp(Dependência de Chaminés)'!J4</f>
        <v>6.673794610289435</v>
      </c>
      <c r="H4" s="93">
        <f t="shared" ref="H4:H8" si="0">MAX(F4:G4)</f>
        <v>16.04608200455581</v>
      </c>
      <c r="J4" s="93">
        <f>'Distância de Chaminés '!C17</f>
        <v>16.48</v>
      </c>
      <c r="K4" s="58" t="str">
        <f>IF(AND(J4&gt;H4, J4&gt;$E$21),"OK","NOK")</f>
        <v>OK</v>
      </c>
      <c r="L4" s="10"/>
      <c r="O4" s="21"/>
      <c r="P4" s="21"/>
      <c r="Q4" s="45"/>
    </row>
    <row r="5" spans="2:17" ht="20.100000000000001" customHeight="1" x14ac:dyDescent="0.2">
      <c r="B5" s="21"/>
      <c r="C5" s="21"/>
      <c r="D5" s="7" t="s">
        <v>51</v>
      </c>
      <c r="E5" s="57">
        <v>9401</v>
      </c>
      <c r="F5" s="93">
        <f>'Hc(dependência do  obstáculo)'!E4</f>
        <v>16.08617312072893</v>
      </c>
      <c r="G5" s="93">
        <f>'Hp(Dependência de Chaminés)'!J5</f>
        <v>6.4484678112539733</v>
      </c>
      <c r="H5" s="93">
        <f t="shared" si="0"/>
        <v>16.08617312072893</v>
      </c>
      <c r="J5" s="93">
        <f>'Distância de Chaminés '!D17</f>
        <v>16.27</v>
      </c>
      <c r="K5" s="58" t="str">
        <f>IF(AND(J5&gt;H5, J5&gt;$E$21),"OK","NOK")</f>
        <v>OK</v>
      </c>
      <c r="L5" s="10"/>
      <c r="O5" s="21"/>
      <c r="P5" s="21"/>
      <c r="Q5" s="45"/>
    </row>
    <row r="6" spans="2:17" ht="20.100000000000001" customHeight="1" x14ac:dyDescent="0.2">
      <c r="B6" s="21"/>
      <c r="C6" s="21"/>
      <c r="D6" s="7" t="s">
        <v>52</v>
      </c>
      <c r="E6" s="57">
        <v>10995</v>
      </c>
      <c r="F6" s="93">
        <f>'Hc(dependência do  obstáculo)'!E5</f>
        <v>15.952232346241459</v>
      </c>
      <c r="G6" s="93">
        <f>'Hp(Dependência de Chaminés)'!J6</f>
        <v>6.5383920789801548</v>
      </c>
      <c r="H6" s="93">
        <f t="shared" si="0"/>
        <v>15.952232346241459</v>
      </c>
      <c r="J6" s="93">
        <f>'Distância de Chaminés '!E17</f>
        <v>16.54</v>
      </c>
      <c r="K6" s="58" t="str">
        <f>IF(AND(J6&gt;H6, J6&gt;$E$21),"OK","NOK")</f>
        <v>OK</v>
      </c>
      <c r="L6" s="10"/>
      <c r="O6" s="21"/>
      <c r="P6" s="21"/>
      <c r="Q6" s="45"/>
    </row>
    <row r="7" spans="2:17" ht="20.100000000000001" customHeight="1" x14ac:dyDescent="0.2">
      <c r="B7" s="21"/>
      <c r="C7" s="21"/>
      <c r="D7" s="7" t="s">
        <v>40</v>
      </c>
      <c r="E7" s="57">
        <v>9402</v>
      </c>
      <c r="F7" s="93">
        <f>'Hc(dependência do  obstáculo)'!E6</f>
        <v>15.997790432801825</v>
      </c>
      <c r="G7" s="93">
        <f>'Hp(Dependência de Chaminés)'!J7</f>
        <v>6.6964902974228462</v>
      </c>
      <c r="H7" s="93">
        <f t="shared" si="0"/>
        <v>15.997790432801825</v>
      </c>
      <c r="J7" s="93">
        <f>'Distância de Chaminés '!F17</f>
        <v>17.72</v>
      </c>
      <c r="K7" s="58" t="str">
        <f t="shared" ref="K7:K11" si="1">IF(AND(J7&gt;H7, J7&gt;$E$18),"OK","NOK")</f>
        <v>OK</v>
      </c>
      <c r="L7" s="10"/>
      <c r="O7" s="21"/>
      <c r="P7" s="21"/>
      <c r="Q7" s="45"/>
    </row>
    <row r="8" spans="2:17" ht="20.100000000000001" customHeight="1" x14ac:dyDescent="0.2">
      <c r="B8" s="21"/>
      <c r="C8" s="21"/>
      <c r="D8" s="7" t="s">
        <v>41</v>
      </c>
      <c r="E8" s="57">
        <v>10475</v>
      </c>
      <c r="F8" s="93">
        <f>'Hc(dependência do  obstáculo)'!E7</f>
        <v>15.37060744115414</v>
      </c>
      <c r="G8" s="93">
        <f>'Hp(Dependência de Chaminés)'!J8</f>
        <v>3.7128074935720954</v>
      </c>
      <c r="H8" s="93">
        <f t="shared" si="0"/>
        <v>15.37060744115414</v>
      </c>
      <c r="J8" s="93">
        <f>'Distância de Chaminés '!G17</f>
        <v>16.309999999999999</v>
      </c>
      <c r="K8" s="58" t="str">
        <f>IF(AND(J8&gt;H8, J8&gt;$E$21),"OK","NOK")</f>
        <v>OK</v>
      </c>
      <c r="L8" s="10"/>
      <c r="O8" s="21"/>
      <c r="P8" s="21"/>
      <c r="Q8" s="45"/>
    </row>
    <row r="9" spans="2:17" ht="20.100000000000001" customHeight="1" x14ac:dyDescent="0.2">
      <c r="D9" s="7" t="s">
        <v>42</v>
      </c>
      <c r="E9" s="57">
        <v>10474</v>
      </c>
      <c r="F9" s="93">
        <f>'Hc(dependência do  obstáculo)'!E8</f>
        <v>15.222999240698559</v>
      </c>
      <c r="G9" s="93">
        <f>'Hp(Dependência de Chaminés)'!J9</f>
        <v>3.0743626912021624</v>
      </c>
      <c r="H9" s="93">
        <f>MAX(F9:G9)</f>
        <v>15.222999240698559</v>
      </c>
      <c r="J9" s="93">
        <f>'Distância de Chaminés '!H17</f>
        <v>16.32</v>
      </c>
      <c r="K9" s="58" t="str">
        <f>IF(AND(J9&gt;H9, J9&gt;$E$21),"OK","NOK")</f>
        <v>OK</v>
      </c>
      <c r="L9" s="10"/>
      <c r="O9" s="21"/>
      <c r="P9" s="21"/>
      <c r="Q9" s="45"/>
    </row>
    <row r="10" spans="2:17" ht="20.100000000000001" customHeight="1" x14ac:dyDescent="0.2">
      <c r="D10" s="26" t="s">
        <v>53</v>
      </c>
      <c r="E10" s="57">
        <v>12224</v>
      </c>
      <c r="F10" s="93">
        <f>'Hc(dependência do  obstáculo)'!E9</f>
        <v>16.120189825360669</v>
      </c>
      <c r="G10" s="93">
        <f>'Hp(Dependência de Chaminés)'!J10</f>
        <v>6.4484678112539733</v>
      </c>
      <c r="H10" s="93">
        <f>MAX(F10:G10)</f>
        <v>16.120189825360669</v>
      </c>
      <c r="J10" s="93">
        <f>'Distância de Chaminés '!I17</f>
        <v>16.190000000000001</v>
      </c>
      <c r="K10" s="58" t="str">
        <f t="shared" si="1"/>
        <v>OK</v>
      </c>
      <c r="L10" s="10"/>
      <c r="O10" s="21"/>
      <c r="P10" s="21"/>
      <c r="Q10" s="45"/>
    </row>
    <row r="11" spans="2:17" ht="20.100000000000001" customHeight="1" x14ac:dyDescent="0.2">
      <c r="D11" s="26" t="s">
        <v>43</v>
      </c>
      <c r="E11" s="58">
        <v>12853</v>
      </c>
      <c r="F11" s="93">
        <f>'Hc(dependência do  obstáculo)'!E10</f>
        <v>15.623302961275629</v>
      </c>
      <c r="G11" s="93">
        <f>'Hp(Dependência de Chaminés)'!J11</f>
        <v>4.2163102558598098</v>
      </c>
      <c r="H11" s="93">
        <f>MAX(F11:G11)</f>
        <v>15.623302961275629</v>
      </c>
      <c r="J11" s="93">
        <f>'Distância de Chaminés '!J17</f>
        <v>16.309999999999999</v>
      </c>
      <c r="K11" s="58" t="str">
        <f t="shared" si="1"/>
        <v>OK</v>
      </c>
      <c r="L11" s="55"/>
      <c r="O11" s="21"/>
      <c r="P11" s="21"/>
      <c r="Q11" s="45"/>
    </row>
    <row r="12" spans="2:17" ht="20.100000000000001" customHeight="1" x14ac:dyDescent="0.2">
      <c r="D12" s="116" t="s">
        <v>54</v>
      </c>
      <c r="E12" s="212"/>
      <c r="F12" s="151">
        <f>'Hc(dependência do  obstáculo)'!E11</f>
        <v>15.958003037205772</v>
      </c>
      <c r="G12" s="151">
        <f>'Hp(Dependência de Chaminés)'!J12</f>
        <v>6.6964902974228462</v>
      </c>
      <c r="H12" s="151">
        <f t="shared" ref="H12:H14" si="2">MAX(F12:G12)</f>
        <v>15.958003037205772</v>
      </c>
      <c r="I12" s="152"/>
      <c r="J12" s="151">
        <f>'Distância de Chaminés '!K17</f>
        <v>16.39</v>
      </c>
      <c r="K12" s="153" t="str">
        <f>IF(AND(J12&gt;H12, J12&gt;=$E$18),"OK","NOK")</f>
        <v>OK</v>
      </c>
      <c r="O12" s="21"/>
      <c r="P12" s="21"/>
      <c r="Q12" s="21"/>
    </row>
    <row r="13" spans="2:17" ht="20.100000000000001" customHeight="1" x14ac:dyDescent="0.2">
      <c r="D13" s="116" t="s">
        <v>99</v>
      </c>
      <c r="E13" s="212"/>
      <c r="F13" s="151">
        <f>'Hc(dependência do  obstáculo)'!E12</f>
        <v>15.260356871678058</v>
      </c>
      <c r="G13" s="151">
        <f>'Hp(Dependência de Chaminés)'!J13</f>
        <v>3.2857685971291466</v>
      </c>
      <c r="H13" s="151">
        <f t="shared" si="2"/>
        <v>15.260356871678058</v>
      </c>
      <c r="I13" s="152"/>
      <c r="J13" s="151">
        <f>'Distância de Chaminés '!L17</f>
        <v>16.28</v>
      </c>
      <c r="K13" s="153" t="str">
        <f t="shared" ref="K13:K14" si="3">IF(AND(J13&gt;H13, J13&gt;=$E$18),"OK","NOK")</f>
        <v>OK</v>
      </c>
      <c r="O13" s="90"/>
      <c r="P13" s="90"/>
      <c r="Q13" s="90"/>
    </row>
    <row r="14" spans="2:17" ht="20.100000000000001" customHeight="1" thickBot="1" x14ac:dyDescent="0.25">
      <c r="D14" s="119" t="s">
        <v>100</v>
      </c>
      <c r="E14" s="155"/>
      <c r="F14" s="154">
        <f>'Hc(dependência do  obstáculo)'!E13</f>
        <v>15.137957479119212</v>
      </c>
      <c r="G14" s="154">
        <f>'Hp(Dependência de Chaminés)'!J14</f>
        <v>3.0743626912021624</v>
      </c>
      <c r="H14" s="154">
        <f t="shared" si="2"/>
        <v>15.137957479119212</v>
      </c>
      <c r="I14" s="152"/>
      <c r="J14" s="154">
        <f>'Distância de Chaminés '!M17</f>
        <v>16.190000000000001</v>
      </c>
      <c r="K14" s="155" t="str">
        <f t="shared" si="3"/>
        <v>OK</v>
      </c>
      <c r="O14" s="90"/>
      <c r="P14" s="90"/>
      <c r="Q14" s="90"/>
    </row>
    <row r="15" spans="2:17" ht="20.100000000000001" customHeight="1" x14ac:dyDescent="0.2"/>
    <row r="16" spans="2:17" ht="20.100000000000001" customHeight="1" x14ac:dyDescent="0.2"/>
    <row r="17" spans="4:5" ht="20.100000000000001" customHeight="1" x14ac:dyDescent="0.2">
      <c r="D17" s="86" t="s">
        <v>95</v>
      </c>
      <c r="E17" s="27">
        <v>13.17</v>
      </c>
    </row>
    <row r="18" spans="4:5" ht="30" customHeight="1" x14ac:dyDescent="0.2">
      <c r="D18" s="87" t="s">
        <v>78</v>
      </c>
      <c r="E18" s="27">
        <f>E17+3</f>
        <v>16.170000000000002</v>
      </c>
    </row>
    <row r="19" spans="4:5" ht="20.100000000000001" customHeight="1" x14ac:dyDescent="0.2"/>
    <row r="20" spans="4:5" ht="20.100000000000001" customHeight="1" x14ac:dyDescent="0.2">
      <c r="D20" s="86" t="s">
        <v>79</v>
      </c>
      <c r="E20" s="3">
        <f>62.563-53.37</f>
        <v>9.1930000000000049</v>
      </c>
    </row>
    <row r="21" spans="4:5" ht="30" customHeight="1" x14ac:dyDescent="0.2">
      <c r="D21" s="87" t="s">
        <v>80</v>
      </c>
      <c r="E21" s="3">
        <f>E20+3</f>
        <v>12.193000000000005</v>
      </c>
    </row>
    <row r="22" spans="4:5" ht="20.100000000000001" customHeight="1" x14ac:dyDescent="0.2"/>
    <row r="23" spans="4:5" ht="20.100000000000001" customHeight="1" x14ac:dyDescent="0.2"/>
  </sheetData>
  <mergeCells count="9">
    <mergeCell ref="O1:O2"/>
    <mergeCell ref="P1:P2"/>
    <mergeCell ref="Q1:Q2"/>
    <mergeCell ref="J1:K1"/>
    <mergeCell ref="D1:D2"/>
    <mergeCell ref="F1:F2"/>
    <mergeCell ref="G1:G2"/>
    <mergeCell ref="H1:H2"/>
    <mergeCell ref="E1:E2"/>
  </mergeCells>
  <phoneticPr fontId="0" type="noConversion"/>
  <conditionalFormatting sqref="K3:K11">
    <cfRule type="cellIs" dxfId="3" priority="11" operator="equal">
      <formula>"NOK"</formula>
    </cfRule>
    <cfRule type="iconSet" priority="12">
      <iconSet iconSet="3Flags">
        <cfvo type="percent" val="0"/>
        <cfvo type="percent" val="33"/>
        <cfvo type="percent" val="67"/>
      </iconSet>
    </cfRule>
  </conditionalFormatting>
  <conditionalFormatting sqref="K12:K14">
    <cfRule type="cellIs" dxfId="2" priority="5" operator="equal">
      <formula>"NOK"</formula>
    </cfRule>
    <cfRule type="iconSet" priority="6">
      <iconSet iconSet="3Flags">
        <cfvo type="percent" val="0"/>
        <cfvo type="percent" val="33"/>
        <cfvo type="percent" val="67"/>
      </iconSet>
    </cfRule>
  </conditionalFormatting>
  <conditionalFormatting sqref="K12:K14">
    <cfRule type="cellIs" dxfId="1" priority="3" operator="equal">
      <formula>"NOK"</formula>
    </cfRule>
    <cfRule type="iconSet" priority="4">
      <iconSet iconSet="3Flags">
        <cfvo type="percent" val="0"/>
        <cfvo type="percent" val="33"/>
        <cfvo type="percent" val="67"/>
      </iconSet>
    </cfRule>
  </conditionalFormatting>
  <conditionalFormatting sqref="K12:K14">
    <cfRule type="cellIs" dxfId="0" priority="1" operator="equal">
      <formula>"NOK"</formula>
    </cfRule>
    <cfRule type="iconSet" priority="2">
      <iconSet iconSet="3Flags">
        <cfvo type="percent" val="0"/>
        <cfvo type="percent" val="33"/>
        <cfvo type="percent" val="67"/>
      </iconSet>
    </cfRule>
  </conditionalFormatting>
  <pageMargins left="0.41" right="0.75" top="0.62" bottom="1" header="0.3" footer="0"/>
  <pageSetup paperSize="9" orientation="portrait" horizontalDpi="4294967293" r:id="rId1"/>
  <headerFooter alignWithMargins="0">
    <oddHeader>&amp;C&amp;"Tahoma,Normal"&amp;11ALTURA DAS CHAMINÉS NOVO REGULAMENTO</oddHeader>
  </headerFooter>
  <ignoredErrors>
    <ignoredError sqref="K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7</vt:i4>
      </vt:variant>
    </vt:vector>
  </HeadingPairs>
  <TitlesOfParts>
    <vt:vector size="7" baseType="lpstr">
      <vt:lpstr>Distância de Chaminés </vt:lpstr>
      <vt:lpstr>Caudais Vol., Massic., Temp.</vt:lpstr>
      <vt:lpstr>Cálculo de S e Hp</vt:lpstr>
      <vt:lpstr>Hp(Dependência de Chaminés)</vt:lpstr>
      <vt:lpstr>Obstaculo próx.</vt:lpstr>
      <vt:lpstr>Hc(dependência do  obstáculo)</vt:lpstr>
      <vt:lpstr>Altura final da Chaminés</vt:lpstr>
    </vt:vector>
  </TitlesOfParts>
  <Company>Metalurgica do Levira,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Metalurgica do Levira, S.A.</dc:creator>
  <cp:lastModifiedBy>Filipa</cp:lastModifiedBy>
  <cp:lastPrinted>2017-11-17T11:36:20Z</cp:lastPrinted>
  <dcterms:created xsi:type="dcterms:W3CDTF">2005-09-21T08:20:41Z</dcterms:created>
  <dcterms:modified xsi:type="dcterms:W3CDTF">2021-10-21T16:43:50Z</dcterms:modified>
</cp:coreProperties>
</file>