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pmotaengils-my.sharepoint.com/personal/diogo_teixeira_resinorte_pt/Documents/Ambiente de Trabalho/PE_Lamego/"/>
    </mc:Choice>
  </mc:AlternateContent>
  <xr:revisionPtr revIDLastSave="25" documentId="8_{5AA41373-8680-4BF6-8C5B-F76B7688B511}" xr6:coauthVersionLast="47" xr6:coauthVersionMax="47" xr10:uidLastSave="{AF7424C2-A641-459A-BDD7-83DCC0022AB6}"/>
  <bookViews>
    <workbookView xWindow="-120" yWindow="-120" windowWidth="20730" windowHeight="11160" activeTab="1" xr2:uid="{00000000-000D-0000-FFFF-FFFF00000000}"/>
  </bookViews>
  <sheets>
    <sheet name="Folha1" sheetId="1" r:id="rId1"/>
    <sheet name="Folha2" sheetId="2" r:id="rId2"/>
  </sheets>
  <definedNames>
    <definedName name="_xlnm.Print_Area" localSheetId="0">Folha1!$B$1:$W$53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" i="2" l="1"/>
  <c r="H8" i="2"/>
  <c r="L8" i="2" s="1"/>
  <c r="N8" i="2" s="1"/>
  <c r="S3" i="2"/>
  <c r="T3" i="2" s="1"/>
  <c r="H3" i="2"/>
  <c r="L3" i="2" s="1"/>
  <c r="N3" i="2" s="1"/>
  <c r="R5" i="1"/>
  <c r="R30" i="1"/>
  <c r="R32" i="1"/>
  <c r="AN13" i="1"/>
  <c r="AO14" i="1"/>
  <c r="AQ11" i="1" s="1"/>
  <c r="AL14" i="1"/>
  <c r="AL11" i="1"/>
  <c r="AL12" i="1"/>
  <c r="AM12" i="1" s="1"/>
  <c r="AN12" i="1" s="1"/>
  <c r="AL13" i="1"/>
  <c r="AM13" i="1" s="1"/>
  <c r="AL10" i="1"/>
  <c r="AM10" i="1" s="1"/>
  <c r="AN10" i="1" s="1"/>
  <c r="AK11" i="1"/>
  <c r="AM11" i="1" s="1"/>
  <c r="AN11" i="1" s="1"/>
  <c r="V3" i="2" l="1"/>
  <c r="V8" i="2"/>
  <c r="AN14" i="1"/>
  <c r="AP14" i="1" s="1"/>
  <c r="AQ14" i="1"/>
  <c r="AQ13" i="1"/>
  <c r="AQ12" i="1"/>
  <c r="AQ10" i="1"/>
  <c r="AK14" i="1"/>
  <c r="AM14" i="1" s="1"/>
  <c r="K34" i="1" l="1"/>
  <c r="M14" i="1"/>
  <c r="K4" i="1"/>
  <c r="U4" i="1" l="1"/>
  <c r="U3" i="1"/>
  <c r="K52" i="1"/>
  <c r="K40" i="1"/>
  <c r="T30" i="1"/>
  <c r="T32" i="1"/>
  <c r="H22" i="1"/>
  <c r="L22" i="1" s="1"/>
  <c r="T14" i="1"/>
  <c r="H19" i="1"/>
  <c r="H14" i="1"/>
  <c r="T52" i="1"/>
  <c r="T43" i="1"/>
  <c r="T40" i="1"/>
  <c r="T39" i="1"/>
  <c r="T36" i="1"/>
  <c r="T34" i="1"/>
  <c r="T22" i="1"/>
  <c r="S25" i="1"/>
  <c r="T25" i="1" s="1"/>
  <c r="O9" i="1"/>
  <c r="P9" i="1"/>
  <c r="P6" i="1"/>
  <c r="T6" i="1" s="1"/>
  <c r="L14" i="1" l="1"/>
  <c r="T9" i="1"/>
  <c r="K14" i="1"/>
  <c r="K22" i="1"/>
  <c r="K19" i="1"/>
  <c r="K6" i="1"/>
  <c r="H5" i="1"/>
  <c r="L5" i="1" s="1"/>
  <c r="H4" i="1"/>
  <c r="L4" i="1" s="1"/>
  <c r="V4" i="1" s="1"/>
  <c r="H3" i="1"/>
  <c r="L3" i="1" s="1"/>
  <c r="V3" i="1" s="1"/>
  <c r="H32" i="1" l="1"/>
  <c r="L32" i="1" s="1"/>
  <c r="N32" i="1" s="1"/>
  <c r="V32" i="1" s="1"/>
  <c r="H30" i="1"/>
  <c r="L30" i="1" s="1"/>
  <c r="N30" i="1" s="1"/>
  <c r="V30" i="1" s="1"/>
  <c r="H52" i="1"/>
  <c r="L52" i="1" s="1"/>
  <c r="N52" i="1" s="1"/>
  <c r="V52" i="1" s="1"/>
  <c r="H43" i="1"/>
  <c r="L43" i="1" s="1"/>
  <c r="N43" i="1" s="1"/>
  <c r="V43" i="1" s="1"/>
  <c r="H40" i="1"/>
  <c r="L40" i="1" s="1"/>
  <c r="N40" i="1" s="1"/>
  <c r="V40" i="1" s="1"/>
  <c r="H39" i="1"/>
  <c r="L39" i="1" s="1"/>
  <c r="N39" i="1" s="1"/>
  <c r="V39" i="1" s="1"/>
  <c r="H36" i="1"/>
  <c r="H34" i="1"/>
  <c r="L34" i="1" s="1"/>
  <c r="N34" i="1" s="1"/>
  <c r="V34" i="1" s="1"/>
  <c r="H25" i="1"/>
  <c r="L25" i="1" s="1"/>
  <c r="N25" i="1" s="1"/>
  <c r="V25" i="1" s="1"/>
  <c r="N22" i="1"/>
  <c r="V22" i="1" s="1"/>
  <c r="N14" i="1"/>
  <c r="V14" i="1" s="1"/>
  <c r="H9" i="1"/>
  <c r="H6" i="1"/>
  <c r="L6" i="1" s="1"/>
  <c r="N6" i="1" s="1"/>
  <c r="V6" i="1" s="1"/>
  <c r="L9" i="1" l="1"/>
  <c r="N9" i="1" s="1"/>
  <c r="V9" i="1" s="1"/>
  <c r="L36" i="1"/>
  <c r="N36" i="1" s="1"/>
  <c r="V36" i="1" s="1"/>
  <c r="M5" i="1"/>
  <c r="N5" i="1" l="1"/>
  <c r="U5" i="1"/>
  <c r="V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Sanches</author>
  </authors>
  <commentList>
    <comment ref="I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Carlos Sanches:</t>
        </r>
        <r>
          <rPr>
            <sz val="9"/>
            <color indexed="81"/>
            <rFont val="Tahoma"/>
            <family val="2"/>
          </rPr>
          <t xml:space="preserve">
esp.SIGRE: PEAD 300kh/m3; filme 450 kg/m3; PET 250 kg/m3</t>
        </r>
      </text>
    </comment>
  </commentList>
</comments>
</file>

<file path=xl/sharedStrings.xml><?xml version="1.0" encoding="utf-8"?>
<sst xmlns="http://schemas.openxmlformats.org/spreadsheetml/2006/main" count="369" uniqueCount="152">
  <si>
    <t>Código LER/Designação</t>
  </si>
  <si>
    <t>Tipo de operação</t>
  </si>
  <si>
    <t>Fração &lt;80mm (para compostagem)</t>
  </si>
  <si>
    <t>R3</t>
  </si>
  <si>
    <t>Refugos</t>
  </si>
  <si>
    <t>D1</t>
  </si>
  <si>
    <t>Ecal</t>
  </si>
  <si>
    <t>R12</t>
  </si>
  <si>
    <t>Metais ferrosos</t>
  </si>
  <si>
    <t>Metais Não ferrosos</t>
  </si>
  <si>
    <t>Vidro</t>
  </si>
  <si>
    <t>Indiferenciado</t>
  </si>
  <si>
    <t>R12/R13</t>
  </si>
  <si>
    <t>R13</t>
  </si>
  <si>
    <t>D13/D15</t>
  </si>
  <si>
    <t>Total</t>
  </si>
  <si>
    <t>15 01 01</t>
  </si>
  <si>
    <t>Pilhas contendo mercúrio</t>
  </si>
  <si>
    <t>16 06 03(*)</t>
  </si>
  <si>
    <t>Pilhas Alcalinas (exceto 16 06 03)</t>
  </si>
  <si>
    <t>16 06 04</t>
  </si>
  <si>
    <t>Outras pilhas e acumuladores</t>
  </si>
  <si>
    <t>16 06 05</t>
  </si>
  <si>
    <t>Eletrólitos de pilhas e acumuladores recolhidos separadamente</t>
  </si>
  <si>
    <t>16 06 06(*)</t>
  </si>
  <si>
    <t>Pilhas e acumuladores não abrangidos em 20 01 33</t>
  </si>
  <si>
    <t>20 01 34</t>
  </si>
  <si>
    <t>Plataforma de madeira</t>
  </si>
  <si>
    <t>Embalagens de Madeira</t>
  </si>
  <si>
    <t>15 01 03</t>
  </si>
  <si>
    <t>15 01 07</t>
  </si>
  <si>
    <t>Plataforma de Pneus</t>
  </si>
  <si>
    <t>Pneus Usados</t>
  </si>
  <si>
    <t>16 01 03</t>
  </si>
  <si>
    <t>Plataforma Plásticos Rígidos</t>
  </si>
  <si>
    <t>Plástico - Proveniente de empresas e oficinas de manutenção de veículos</t>
  </si>
  <si>
    <t>16 01 19</t>
  </si>
  <si>
    <t>Equipamento fora de uso contendo clorofluorcarbonetos,HCFC, HFC</t>
  </si>
  <si>
    <t>16 02 11 (*)</t>
  </si>
  <si>
    <t>Equipamento fora de uso contendo componentes perigosos (2) não abrangidos em 16 02 09 a 16 02 02</t>
  </si>
  <si>
    <t>16 02 13 (*)</t>
  </si>
  <si>
    <t>Equipamento fora de uso não abrangido em 16 02 09 a 16 02 13</t>
  </si>
  <si>
    <t>16 02 14</t>
  </si>
  <si>
    <t>Acumuladores de chumbo</t>
  </si>
  <si>
    <t>16 06 01(*)</t>
  </si>
  <si>
    <t>Acumuladores de níquel-cádmio</t>
  </si>
  <si>
    <t>16 06 02 (*)</t>
  </si>
  <si>
    <t>Plástico</t>
  </si>
  <si>
    <t>17 02 03</t>
  </si>
  <si>
    <t>20 01 02</t>
  </si>
  <si>
    <t>Lâmpadas fluorescentes e outros resíduos contendo mercúrio</t>
  </si>
  <si>
    <t>20 01 21(*)</t>
  </si>
  <si>
    <t>Equipamento fora de uso contendo clorofluorcarbonetos</t>
  </si>
  <si>
    <t>20 01 23(*)</t>
  </si>
  <si>
    <t>Equipamento elétrico e eletrónico fora de uso não abrangido em 20 01 21 ou 20 01 23 contendo componentes perigosos (2)</t>
  </si>
  <si>
    <t>20 01 35(*)</t>
  </si>
  <si>
    <t>Equipamento elétrico e eletrónico fora de uso não abrangido em 20 01 21,20 01 23 ou 20 01 35</t>
  </si>
  <si>
    <t>20 01 36</t>
  </si>
  <si>
    <t>Madeira não abrangida em 20 01 37</t>
  </si>
  <si>
    <t>20 01 38</t>
  </si>
  <si>
    <t>Plásticos</t>
  </si>
  <si>
    <t>20 01 39</t>
  </si>
  <si>
    <t>Plataforma de REEE</t>
  </si>
  <si>
    <t>19 12 02</t>
  </si>
  <si>
    <t>19 12 03</t>
  </si>
  <si>
    <t>15 01 05</t>
  </si>
  <si>
    <t>Mistura de Embalagens</t>
  </si>
  <si>
    <t>15 01 06</t>
  </si>
  <si>
    <t>Papel e cartão</t>
  </si>
  <si>
    <t>20 01 01</t>
  </si>
  <si>
    <t>Triagem e TMS - cargas devolvidas</t>
  </si>
  <si>
    <t>19 12 04</t>
  </si>
  <si>
    <t>Plataforma de Sucata</t>
  </si>
  <si>
    <t>Metais</t>
  </si>
  <si>
    <t>20 01 40</t>
  </si>
  <si>
    <t>19 12 01</t>
  </si>
  <si>
    <t>15 01 02</t>
  </si>
  <si>
    <t>15 01 04</t>
  </si>
  <si>
    <t>fardos</t>
  </si>
  <si>
    <t>granel</t>
  </si>
  <si>
    <t>2 caixas de 30m3</t>
  </si>
  <si>
    <t>2 galeras de 90m3</t>
  </si>
  <si>
    <t>RS TRI</t>
  </si>
  <si>
    <t>TRI e TMS</t>
  </si>
  <si>
    <t>PLATAF MAD</t>
  </si>
  <si>
    <t>PLATAF VIDRO</t>
  </si>
  <si>
    <t>PLATAF PNEUS</t>
  </si>
  <si>
    <t>PLATAF PL RIG</t>
  </si>
  <si>
    <t>PLATAF REE</t>
  </si>
  <si>
    <t>PLATAF P&amp;A</t>
  </si>
  <si>
    <t>TMS</t>
  </si>
  <si>
    <t>Espec.Ecopilhas</t>
  </si>
  <si>
    <t>valorpneu: 10kg/pneu; dimensoes: diametro:120cm; largura: 20cm; 20pneus/1,44m3</t>
  </si>
  <si>
    <t>ref. RSN</t>
  </si>
  <si>
    <t>Ref. Gerais</t>
  </si>
  <si>
    <t>Silo</t>
  </si>
  <si>
    <t>Fardo</t>
  </si>
  <si>
    <t>Palete</t>
  </si>
  <si>
    <t>Granel</t>
  </si>
  <si>
    <t>Contentor</t>
  </si>
  <si>
    <t>Validação</t>
  </si>
  <si>
    <t>fardos/
paletes</t>
  </si>
  <si>
    <t>contentor/palete</t>
  </si>
  <si>
    <t>Papel e Cartão</t>
  </si>
  <si>
    <t>Plasticos</t>
  </si>
  <si>
    <t>Triagem - RS</t>
  </si>
  <si>
    <t>Plartaforma Vidro (TMS)</t>
  </si>
  <si>
    <t>Plataforma Vidro (RS)</t>
  </si>
  <si>
    <t>Instalação</t>
  </si>
  <si>
    <t>Tipo de resíduos</t>
  </si>
  <si>
    <t>Vol disponível (m3)</t>
  </si>
  <si>
    <t>(kg/m3)</t>
  </si>
  <si>
    <t>(ton)</t>
  </si>
  <si>
    <t>Armazenamento instantaneo por tipo</t>
  </si>
  <si>
    <t>(ton/ano)</t>
  </si>
  <si>
    <t>(m3)</t>
  </si>
  <si>
    <t>Volume necessário</t>
  </si>
  <si>
    <t>Altura</t>
  </si>
  <si>
    <t>(m)</t>
  </si>
  <si>
    <t>Área necessária</t>
  </si>
  <si>
    <t>(m2)</t>
  </si>
  <si>
    <t>Quant. Máx. por tipo de operação</t>
  </si>
  <si>
    <t>Armazenagem instantânea por material</t>
  </si>
  <si>
    <t>Área disponível
(m2)</t>
  </si>
  <si>
    <t>obs.</t>
  </si>
  <si>
    <t>granel/contentor</t>
  </si>
  <si>
    <t>Caraterização 2019</t>
  </si>
  <si>
    <t>Caraterização 2019 (valor max.)</t>
  </si>
  <si>
    <t>Espec. SIGRE (1180-2450 kg/m3)</t>
  </si>
  <si>
    <t>Espec. SIGRE (330-680 kg/m3)</t>
  </si>
  <si>
    <t>Espec. SIGRE (PEAD 200-300kg/m3; filme 350-450 kg/m3; PET 180-250 kg/m3)</t>
  </si>
  <si>
    <t>Espec. SIGRE (23t/80m3; 601 kg/fardo a 1200 kg/fardo)</t>
  </si>
  <si>
    <t>Espec. SIGRE (3ton/30m3)</t>
  </si>
  <si>
    <t>Experiencia 2t/30m3</t>
  </si>
  <si>
    <t>2,9 t/30m3 = 97 kg/m3</t>
  </si>
  <si>
    <t>Experiencia ( ex. 1 frigorifico dimensoes 0,7*0,7*1,7 m3 pesa 70 kg) = 84 kg/m3</t>
  </si>
  <si>
    <t>Experiencia 3t/30m3</t>
  </si>
  <si>
    <t>Experiencia (Transporte de 28t em 80m3)</t>
  </si>
  <si>
    <t>Ref. Estudos das TMS</t>
  </si>
  <si>
    <t>Filme</t>
  </si>
  <si>
    <t>PET</t>
  </si>
  <si>
    <t>PEAD</t>
  </si>
  <si>
    <t>Mistos</t>
  </si>
  <si>
    <t>kg/fardo</t>
  </si>
  <si>
    <t>vol/fardo</t>
  </si>
  <si>
    <t>kg/m3</t>
  </si>
  <si>
    <t>ton ate nov</t>
  </si>
  <si>
    <t>m3</t>
  </si>
  <si>
    <t>ton/fardo - filme 804; PET 443/489; PEAD 534; Mistos 762
peso especifico ponderado de 346 kg/m3</t>
  </si>
  <si>
    <t>Peso específico</t>
  </si>
  <si>
    <t>Referências Peso específico</t>
  </si>
  <si>
    <t>palete/contentores (caixas)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</si>
</sst>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/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rgb="FF000000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ck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ck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34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/>
    <xf numFmtId="0" fontId="4" fillId="0" borderId="40" xfId="0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3" fontId="3" fillId="0" borderId="70" xfId="0" applyNumberFormat="1" applyFont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wrapText="1"/>
    </xf>
    <xf numFmtId="0" fontId="4" fillId="0" borderId="92" xfId="0" applyFont="1" applyBorder="1" applyAlignment="1">
      <alignment horizontal="center" wrapText="1"/>
    </xf>
    <xf numFmtId="0" fontId="4" fillId="0" borderId="9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wrapText="1"/>
    </xf>
    <xf numFmtId="0" fontId="4" fillId="0" borderId="95" xfId="0" applyFont="1" applyFill="1" applyBorder="1" applyAlignment="1">
      <alignment horizontal="center" wrapText="1"/>
    </xf>
    <xf numFmtId="0" fontId="4" fillId="0" borderId="96" xfId="0" applyFont="1" applyFill="1" applyBorder="1" applyAlignment="1">
      <alignment horizontal="center" wrapText="1"/>
    </xf>
    <xf numFmtId="0" fontId="3" fillId="0" borderId="100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/>
    </xf>
    <xf numFmtId="0" fontId="3" fillId="0" borderId="10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horizontal="center" vertical="center" wrapText="1"/>
    </xf>
    <xf numFmtId="164" fontId="4" fillId="0" borderId="71" xfId="0" applyNumberFormat="1" applyFont="1" applyBorder="1" applyAlignment="1">
      <alignment horizontal="center" vertical="center" wrapText="1"/>
    </xf>
    <xf numFmtId="164" fontId="4" fillId="0" borderId="72" xfId="0" applyNumberFormat="1" applyFont="1" applyBorder="1" applyAlignment="1">
      <alignment horizontal="center" vertical="center" wrapText="1"/>
    </xf>
    <xf numFmtId="3" fontId="3" fillId="0" borderId="102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center" vertical="center" wrapText="1"/>
    </xf>
    <xf numFmtId="3" fontId="4" fillId="0" borderId="71" xfId="0" applyNumberFormat="1" applyFont="1" applyBorder="1" applyAlignment="1">
      <alignment horizontal="center" vertical="center" wrapText="1"/>
    </xf>
    <xf numFmtId="3" fontId="4" fillId="0" borderId="72" xfId="0" applyNumberFormat="1" applyFont="1" applyBorder="1" applyAlignment="1">
      <alignment horizontal="center" vertical="center" wrapText="1"/>
    </xf>
    <xf numFmtId="3" fontId="4" fillId="0" borderId="105" xfId="0" applyNumberFormat="1" applyFont="1" applyBorder="1" applyAlignment="1">
      <alignment horizontal="center" vertical="center" wrapText="1"/>
    </xf>
    <xf numFmtId="3" fontId="3" fillId="0" borderId="108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4" borderId="49" xfId="0" applyNumberFormat="1" applyFont="1" applyFill="1" applyBorder="1" applyAlignment="1">
      <alignment horizontal="center" vertical="center" wrapText="1"/>
    </xf>
    <xf numFmtId="0" fontId="5" fillId="4" borderId="89" xfId="0" applyFont="1" applyFill="1" applyBorder="1" applyAlignment="1">
      <alignment horizontal="center" vertical="center" wrapText="1"/>
    </xf>
    <xf numFmtId="3" fontId="5" fillId="4" borderId="44" xfId="0" applyNumberFormat="1" applyFont="1" applyFill="1" applyBorder="1" applyAlignment="1">
      <alignment horizontal="center" vertical="center" wrapText="1"/>
    </xf>
    <xf numFmtId="3" fontId="5" fillId="4" borderId="58" xfId="0" applyNumberFormat="1" applyFont="1" applyFill="1" applyBorder="1" applyAlignment="1">
      <alignment horizontal="center" vertical="center" wrapText="1"/>
    </xf>
    <xf numFmtId="0" fontId="4" fillId="0" borderId="131" xfId="0" applyFont="1" applyBorder="1" applyAlignment="1">
      <alignment horizontal="center" vertical="center" wrapText="1"/>
    </xf>
    <xf numFmtId="0" fontId="1" fillId="5" borderId="98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 wrapText="1"/>
    </xf>
    <xf numFmtId="0" fontId="1" fillId="5" borderId="97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2" borderId="137" xfId="0" applyFont="1" applyFill="1" applyBorder="1" applyAlignment="1">
      <alignment horizontal="center" vertical="center" wrapText="1"/>
    </xf>
    <xf numFmtId="0" fontId="4" fillId="2" borderId="138" xfId="0" applyFont="1" applyFill="1" applyBorder="1" applyAlignment="1">
      <alignment horizontal="center" vertical="center" wrapText="1"/>
    </xf>
    <xf numFmtId="0" fontId="4" fillId="2" borderId="139" xfId="0" applyFont="1" applyFill="1" applyBorder="1" applyAlignment="1">
      <alignment horizontal="center" vertical="center" wrapText="1"/>
    </xf>
    <xf numFmtId="0" fontId="4" fillId="2" borderId="140" xfId="0" applyFont="1" applyFill="1" applyBorder="1" applyAlignment="1">
      <alignment horizontal="center" vertical="center" wrapText="1"/>
    </xf>
    <xf numFmtId="0" fontId="5" fillId="4" borderId="138" xfId="0" applyFont="1" applyFill="1" applyBorder="1" applyAlignment="1">
      <alignment horizontal="center" vertical="center" wrapText="1"/>
    </xf>
    <xf numFmtId="0" fontId="4" fillId="2" borderId="143" xfId="0" applyFont="1" applyFill="1" applyBorder="1" applyAlignment="1">
      <alignment horizontal="center" vertical="center" wrapText="1"/>
    </xf>
    <xf numFmtId="0" fontId="5" fillId="4" borderId="139" xfId="0" applyFont="1" applyFill="1" applyBorder="1" applyAlignment="1">
      <alignment horizontal="center" vertical="center" wrapText="1"/>
    </xf>
    <xf numFmtId="0" fontId="1" fillId="5" borderId="147" xfId="0" applyFont="1" applyFill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149" xfId="0" applyFont="1" applyFill="1" applyBorder="1" applyAlignment="1">
      <alignment vertical="center" wrapText="1"/>
    </xf>
    <xf numFmtId="0" fontId="4" fillId="0" borderId="150" xfId="0" applyFont="1" applyFill="1" applyBorder="1" applyAlignment="1">
      <alignment vertical="center" wrapText="1"/>
    </xf>
    <xf numFmtId="0" fontId="4" fillId="0" borderId="151" xfId="0" applyFont="1" applyFill="1" applyBorder="1" applyAlignment="1">
      <alignment vertical="center" wrapText="1"/>
    </xf>
    <xf numFmtId="0" fontId="3" fillId="0" borderId="149" xfId="0" applyFont="1" applyBorder="1" applyAlignment="1">
      <alignment horizontal="center" vertical="center" wrapText="1"/>
    </xf>
    <xf numFmtId="0" fontId="4" fillId="0" borderId="150" xfId="0" applyFont="1" applyBorder="1" applyAlignment="1">
      <alignment vertical="center" wrapText="1"/>
    </xf>
    <xf numFmtId="0" fontId="3" fillId="0" borderId="149" xfId="0" applyFont="1" applyFill="1" applyBorder="1" applyAlignment="1">
      <alignment horizontal="center" vertical="center" wrapText="1"/>
    </xf>
    <xf numFmtId="0" fontId="4" fillId="0" borderId="150" xfId="0" applyFont="1" applyFill="1" applyBorder="1" applyAlignment="1">
      <alignment horizontal="center" vertical="center" wrapText="1"/>
    </xf>
    <xf numFmtId="0" fontId="4" fillId="0" borderId="152" xfId="0" applyFont="1" applyFill="1" applyBorder="1" applyAlignment="1">
      <alignment horizontal="center" vertical="center" wrapText="1"/>
    </xf>
    <xf numFmtId="0" fontId="3" fillId="0" borderId="153" xfId="0" applyFont="1" applyFill="1" applyBorder="1" applyAlignment="1">
      <alignment horizontal="center" vertical="center" wrapText="1"/>
    </xf>
    <xf numFmtId="0" fontId="4" fillId="0" borderId="151" xfId="0" applyFont="1" applyFill="1" applyBorder="1" applyAlignment="1">
      <alignment horizontal="center" vertical="center" wrapText="1"/>
    </xf>
    <xf numFmtId="0" fontId="3" fillId="0" borderId="149" xfId="0" applyFont="1" applyBorder="1" applyAlignment="1">
      <alignment horizontal="center" wrapText="1"/>
    </xf>
    <xf numFmtId="0" fontId="4" fillId="0" borderId="150" xfId="0" applyFont="1" applyBorder="1" applyAlignment="1">
      <alignment horizontal="center" wrapText="1"/>
    </xf>
    <xf numFmtId="0" fontId="4" fillId="0" borderId="151" xfId="0" applyFont="1" applyBorder="1" applyAlignment="1">
      <alignment horizontal="center" wrapText="1"/>
    </xf>
    <xf numFmtId="0" fontId="4" fillId="0" borderId="150" xfId="0" applyFont="1" applyBorder="1" applyAlignment="1">
      <alignment horizontal="center" vertical="center" wrapText="1"/>
    </xf>
    <xf numFmtId="0" fontId="4" fillId="0" borderId="15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57" xfId="0" applyFont="1" applyBorder="1" applyAlignment="1">
      <alignment horizontal="center" vertical="center" wrapText="1"/>
    </xf>
    <xf numFmtId="3" fontId="4" fillId="0" borderId="158" xfId="0" applyNumberFormat="1" applyFont="1" applyBorder="1" applyAlignment="1">
      <alignment horizontal="center" vertical="center" wrapText="1"/>
    </xf>
    <xf numFmtId="0" fontId="4" fillId="0" borderId="159" xfId="0" applyFont="1" applyFill="1" applyBorder="1" applyAlignment="1">
      <alignment horizontal="center" vertical="center" wrapText="1"/>
    </xf>
    <xf numFmtId="9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3" fontId="4" fillId="6" borderId="71" xfId="0" applyNumberFormat="1" applyFont="1" applyFill="1" applyBorder="1" applyAlignment="1">
      <alignment horizontal="center" vertical="center" wrapText="1"/>
    </xf>
    <xf numFmtId="0" fontId="4" fillId="6" borderId="7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3" fontId="4" fillId="6" borderId="72" xfId="0" applyNumberFormat="1" applyFont="1" applyFill="1" applyBorder="1" applyAlignment="1">
      <alignment horizontal="center" vertical="center" wrapText="1"/>
    </xf>
    <xf numFmtId="0" fontId="4" fillId="6" borderId="7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3" fontId="4" fillId="6" borderId="70" xfId="0" applyNumberFormat="1" applyFont="1" applyFill="1" applyBorder="1" applyAlignment="1">
      <alignment horizontal="center" vertical="center" wrapText="1"/>
    </xf>
    <xf numFmtId="0" fontId="4" fillId="6" borderId="74" xfId="0" applyFont="1" applyFill="1" applyBorder="1" applyAlignment="1">
      <alignment horizontal="center" vertical="center" wrapText="1"/>
    </xf>
    <xf numFmtId="164" fontId="4" fillId="6" borderId="71" xfId="0" applyNumberFormat="1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0" fontId="3" fillId="0" borderId="116" xfId="0" applyFont="1" applyFill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 wrapText="1"/>
    </xf>
    <xf numFmtId="0" fontId="5" fillId="0" borderId="160" xfId="0" applyFont="1" applyBorder="1" applyAlignment="1">
      <alignment horizontal="center" vertical="center" wrapText="1"/>
    </xf>
    <xf numFmtId="0" fontId="4" fillId="0" borderId="132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4" fillId="0" borderId="1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6" xfId="0" applyFont="1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6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4" fillId="0" borderId="15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62" xfId="0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163" xfId="0" applyFont="1" applyBorder="1" applyAlignment="1">
      <alignment horizontal="center" vertical="center" wrapText="1"/>
    </xf>
    <xf numFmtId="3" fontId="5" fillId="4" borderId="67" xfId="0" applyNumberFormat="1" applyFont="1" applyFill="1" applyBorder="1" applyAlignment="1">
      <alignment horizontal="center" vertical="center" wrapText="1"/>
    </xf>
    <xf numFmtId="3" fontId="5" fillId="4" borderId="66" xfId="0" applyNumberFormat="1" applyFont="1" applyFill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3" fontId="2" fillId="4" borderId="59" xfId="0" applyNumberFormat="1" applyFont="1" applyFill="1" applyBorder="1" applyAlignment="1">
      <alignment horizontal="center" vertical="center" wrapText="1"/>
    </xf>
    <xf numFmtId="3" fontId="2" fillId="4" borderId="60" xfId="0" applyNumberFormat="1" applyFont="1" applyFill="1" applyBorder="1" applyAlignment="1">
      <alignment horizontal="center" vertical="center" wrapText="1"/>
    </xf>
    <xf numFmtId="3" fontId="2" fillId="4" borderId="44" xfId="0" applyNumberFormat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3" fontId="5" fillId="4" borderId="59" xfId="0" applyNumberFormat="1" applyFont="1" applyFill="1" applyBorder="1" applyAlignment="1">
      <alignment horizontal="center" vertical="center" wrapText="1"/>
    </xf>
    <xf numFmtId="3" fontId="5" fillId="4" borderId="60" xfId="0" applyNumberFormat="1" applyFont="1" applyFill="1" applyBorder="1" applyAlignment="1">
      <alignment horizontal="center" vertical="center" wrapText="1"/>
    </xf>
    <xf numFmtId="3" fontId="5" fillId="4" borderId="44" xfId="0" applyNumberFormat="1" applyFont="1" applyFill="1" applyBorder="1" applyAlignment="1">
      <alignment horizontal="center" vertical="center" wrapText="1"/>
    </xf>
    <xf numFmtId="3" fontId="2" fillId="4" borderId="67" xfId="0" applyNumberFormat="1" applyFont="1" applyFill="1" applyBorder="1" applyAlignment="1">
      <alignment horizontal="center" vertical="center" wrapText="1"/>
    </xf>
    <xf numFmtId="3" fontId="2" fillId="4" borderId="66" xfId="0" applyNumberFormat="1" applyFont="1" applyFill="1" applyBorder="1" applyAlignment="1">
      <alignment horizontal="center" vertical="center" wrapText="1"/>
    </xf>
    <xf numFmtId="3" fontId="2" fillId="4" borderId="68" xfId="0" applyNumberFormat="1" applyFont="1" applyFill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0" fillId="3" borderId="65" xfId="0" applyFont="1" applyFill="1" applyBorder="1" applyAlignment="1">
      <alignment horizontal="center" vertical="center" wrapText="1"/>
    </xf>
    <xf numFmtId="0" fontId="9" fillId="3" borderId="171" xfId="0" applyFont="1" applyFill="1" applyBorder="1" applyAlignment="1">
      <alignment horizontal="center" vertical="center" wrapText="1"/>
    </xf>
    <xf numFmtId="0" fontId="4" fillId="0" borderId="17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3" fontId="5" fillId="4" borderId="164" xfId="0" applyNumberFormat="1" applyFont="1" applyFill="1" applyBorder="1" applyAlignment="1">
      <alignment horizontal="center" vertical="center" wrapText="1"/>
    </xf>
    <xf numFmtId="0" fontId="4" fillId="0" borderId="165" xfId="0" applyFont="1" applyBorder="1" applyAlignment="1">
      <alignment horizontal="center" vertical="center" wrapText="1"/>
    </xf>
    <xf numFmtId="3" fontId="5" fillId="4" borderId="160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119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119" xfId="0" applyFont="1" applyFill="1" applyBorder="1" applyAlignment="1">
      <alignment horizontal="center" vertical="center"/>
    </xf>
    <xf numFmtId="0" fontId="4" fillId="0" borderId="12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2" borderId="133" xfId="0" applyFont="1" applyFill="1" applyBorder="1" applyAlignment="1">
      <alignment horizontal="center" vertical="center" wrapText="1"/>
    </xf>
    <xf numFmtId="0" fontId="4" fillId="2" borderId="130" xfId="0" applyFont="1" applyFill="1" applyBorder="1" applyAlignment="1">
      <alignment horizontal="center" vertical="center" wrapText="1"/>
    </xf>
    <xf numFmtId="0" fontId="4" fillId="2" borderId="134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 wrapText="1"/>
    </xf>
    <xf numFmtId="0" fontId="4" fillId="2" borderId="135" xfId="0" applyFont="1" applyFill="1" applyBorder="1" applyAlignment="1">
      <alignment horizontal="center" vertical="center" wrapText="1"/>
    </xf>
    <xf numFmtId="0" fontId="4" fillId="2" borderId="85" xfId="0" applyFont="1" applyFill="1" applyBorder="1" applyAlignment="1">
      <alignment horizontal="center" vertical="center" wrapText="1"/>
    </xf>
    <xf numFmtId="0" fontId="4" fillId="2" borderId="136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0" fillId="0" borderId="141" xfId="0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1" fillId="5" borderId="144" xfId="0" applyFont="1" applyFill="1" applyBorder="1" applyAlignment="1">
      <alignment horizontal="center" wrapText="1"/>
    </xf>
    <xf numFmtId="0" fontId="1" fillId="5" borderId="145" xfId="0" applyFont="1" applyFill="1" applyBorder="1" applyAlignment="1">
      <alignment horizontal="center" wrapText="1"/>
    </xf>
    <xf numFmtId="0" fontId="1" fillId="5" borderId="146" xfId="0" applyFont="1" applyFill="1" applyBorder="1" applyAlignment="1">
      <alignment horizont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20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26" xfId="0" applyFont="1" applyFill="1" applyBorder="1" applyAlignment="1">
      <alignment horizontal="center" vertical="center"/>
    </xf>
    <xf numFmtId="0" fontId="4" fillId="0" borderId="120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24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5" borderId="121" xfId="0" applyFont="1" applyFill="1" applyBorder="1" applyAlignment="1">
      <alignment horizontal="center" vertical="center" wrapText="1"/>
    </xf>
    <xf numFmtId="0" fontId="5" fillId="5" borderId="122" xfId="0" applyFont="1" applyFill="1" applyBorder="1" applyAlignment="1">
      <alignment horizontal="center" vertical="center" wrapText="1"/>
    </xf>
    <xf numFmtId="0" fontId="5" fillId="5" borderId="123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/>
    </xf>
    <xf numFmtId="1" fontId="4" fillId="0" borderId="30" xfId="0" applyNumberFormat="1" applyFont="1" applyFill="1" applyBorder="1" applyAlignment="1">
      <alignment horizontal="center" vertical="center" wrapText="1"/>
    </xf>
    <xf numFmtId="1" fontId="4" fillId="0" borderId="78" xfId="0" applyNumberFormat="1" applyFont="1" applyFill="1" applyBorder="1" applyAlignment="1">
      <alignment horizontal="center" vertical="center" wrapText="1"/>
    </xf>
    <xf numFmtId="0" fontId="5" fillId="5" borderId="170" xfId="0" applyFont="1" applyFill="1" applyBorder="1" applyAlignment="1">
      <alignment horizontal="center" vertical="center" wrapText="1"/>
    </xf>
    <xf numFmtId="0" fontId="4" fillId="0" borderId="168" xfId="0" applyFont="1" applyFill="1" applyBorder="1" applyAlignment="1">
      <alignment horizontal="center" vertical="center" wrapText="1"/>
    </xf>
    <xf numFmtId="0" fontId="4" fillId="0" borderId="167" xfId="0" applyFont="1" applyFill="1" applyBorder="1" applyAlignment="1">
      <alignment horizontal="center" vertical="center" wrapText="1"/>
    </xf>
    <xf numFmtId="0" fontId="4" fillId="0" borderId="166" xfId="0" applyFont="1" applyFill="1" applyBorder="1" applyAlignment="1">
      <alignment horizontal="center" vertical="center" wrapText="1"/>
    </xf>
    <xf numFmtId="0" fontId="5" fillId="5" borderId="121" xfId="0" applyFont="1" applyFill="1" applyBorder="1" applyAlignment="1">
      <alignment horizontal="center" vertical="center"/>
    </xf>
    <xf numFmtId="0" fontId="5" fillId="5" borderId="122" xfId="0" applyFont="1" applyFill="1" applyBorder="1" applyAlignment="1">
      <alignment horizontal="center" vertical="center"/>
    </xf>
    <xf numFmtId="0" fontId="5" fillId="5" borderId="123" xfId="0" applyFont="1" applyFill="1" applyBorder="1" applyAlignment="1">
      <alignment horizontal="center" vertical="center"/>
    </xf>
    <xf numFmtId="0" fontId="5" fillId="5" borderId="169" xfId="0" applyFont="1" applyFill="1" applyBorder="1" applyAlignment="1">
      <alignment horizontal="center" vertical="center" wrapText="1"/>
    </xf>
    <xf numFmtId="0" fontId="4" fillId="0" borderId="157" xfId="0" applyFont="1" applyFill="1" applyBorder="1" applyAlignment="1">
      <alignment horizontal="center" vertical="center" wrapText="1"/>
    </xf>
    <xf numFmtId="0" fontId="9" fillId="3" borderId="148" xfId="0" applyFont="1" applyFill="1" applyBorder="1" applyAlignment="1">
      <alignment horizontal="center" vertical="center" wrapText="1"/>
    </xf>
    <xf numFmtId="0" fontId="9" fillId="3" borderId="99" xfId="0" applyFont="1" applyFill="1" applyBorder="1" applyAlignment="1">
      <alignment horizontal="center" vertical="center" wrapText="1"/>
    </xf>
    <xf numFmtId="0" fontId="0" fillId="0" borderId="148" xfId="0" applyFont="1" applyBorder="1" applyAlignment="1">
      <alignment horizontal="center" vertical="center"/>
    </xf>
    <xf numFmtId="0" fontId="0" fillId="0" borderId="9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20" xfId="0" applyFont="1" applyFill="1" applyBorder="1" applyAlignment="1">
      <alignment horizontal="center" vertical="center" wrapText="1"/>
    </xf>
    <xf numFmtId="0" fontId="3" fillId="0" borderId="83" xfId="0" applyFont="1" applyFill="1" applyBorder="1" applyAlignment="1">
      <alignment horizontal="center" vertical="center" wrapText="1"/>
    </xf>
  </cellXfs>
  <cellStyles count="2">
    <cellStyle name="Normal" xfId="0" builtinId="0"/>
    <cellStyle name="Normal 9" xfId="1" xr:uid="{7A28B460-36F6-4D7A-8C12-506DFE208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132080</xdr:colOff>
      <xdr:row>5</xdr:row>
      <xdr:rowOff>40640</xdr:rowOff>
    </xdr:from>
    <xdr:to>
      <xdr:col>35</xdr:col>
      <xdr:colOff>63500</xdr:colOff>
      <xdr:row>37</xdr:row>
      <xdr:rowOff>88900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70C7BE-8119-44DF-BEB8-B6E6631A6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5040" y="1859280"/>
          <a:ext cx="5417820" cy="3749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132080</xdr:colOff>
      <xdr:row>4</xdr:row>
      <xdr:rowOff>213360</xdr:rowOff>
    </xdr:from>
    <xdr:to>
      <xdr:col>40</xdr:col>
      <xdr:colOff>40640</xdr:colOff>
      <xdr:row>27</xdr:row>
      <xdr:rowOff>63500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47C3A0B-0481-4962-9642-C4F8DE0C6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81760" y="1645920"/>
          <a:ext cx="2956560" cy="883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132080</xdr:colOff>
      <xdr:row>2</xdr:row>
      <xdr:rowOff>0</xdr:rowOff>
    </xdr:from>
    <xdr:to>
      <xdr:col>40</xdr:col>
      <xdr:colOff>40640</xdr:colOff>
      <xdr:row>2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1BA1BF6-451D-4134-80DB-06D9443F6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02030" y="790575"/>
          <a:ext cx="295656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4"/>
  <sheetViews>
    <sheetView zoomScale="75" zoomScaleNormal="75" workbookViewId="0">
      <pane xSplit="7" ySplit="2" topLeftCell="L3" activePane="bottomRight" state="frozen"/>
      <selection pane="topRight" activeCell="H1" sqref="H1"/>
      <selection pane="bottomLeft" activeCell="A3" sqref="A3"/>
      <selection pane="bottomRight" sqref="A1:XFD1048576"/>
    </sheetView>
  </sheetViews>
  <sheetFormatPr defaultRowHeight="15" x14ac:dyDescent="0.25"/>
  <cols>
    <col min="1" max="1" width="9.28515625" customWidth="1"/>
    <col min="2" max="2" width="15.42578125" customWidth="1"/>
    <col min="3" max="3" width="19.7109375" customWidth="1"/>
    <col min="4" max="4" width="14.7109375" customWidth="1"/>
    <col min="5" max="5" width="8.85546875" customWidth="1"/>
    <col min="6" max="6" width="13.5703125" customWidth="1"/>
    <col min="7" max="7" width="22.42578125" style="6" customWidth="1"/>
    <col min="8" max="8" width="14.5703125" customWidth="1"/>
    <col min="9" max="9" width="9.28515625" customWidth="1"/>
    <col min="10" max="10" width="16.7109375" customWidth="1"/>
    <col min="11" max="11" width="10.85546875" customWidth="1"/>
    <col min="12" max="12" width="9.85546875" style="2" customWidth="1"/>
    <col min="13" max="13" width="7.28515625" style="2" customWidth="1"/>
    <col min="14" max="14" width="12" style="2" bestFit="1" customWidth="1"/>
    <col min="19" max="19" width="10.7109375" customWidth="1"/>
    <col min="20" max="20" width="10.28515625" customWidth="1"/>
    <col min="21" max="21" width="13.42578125" customWidth="1"/>
    <col min="22" max="22" width="12.28515625" bestFit="1" customWidth="1"/>
    <col min="23" max="23" width="16.42578125" bestFit="1" customWidth="1"/>
  </cols>
  <sheetData>
    <row r="1" spans="1:43" ht="46.5" thickTop="1" thickBot="1" x14ac:dyDescent="0.3">
      <c r="B1" s="276" t="s">
        <v>108</v>
      </c>
      <c r="C1" s="278" t="s">
        <v>109</v>
      </c>
      <c r="D1" s="280" t="s">
        <v>0</v>
      </c>
      <c r="E1" s="282" t="s">
        <v>1</v>
      </c>
      <c r="F1" s="98" t="s">
        <v>121</v>
      </c>
      <c r="G1" s="99" t="s">
        <v>122</v>
      </c>
      <c r="H1" s="100" t="s">
        <v>113</v>
      </c>
      <c r="I1" s="101" t="s">
        <v>149</v>
      </c>
      <c r="J1" s="284" t="s">
        <v>150</v>
      </c>
      <c r="K1" s="285"/>
      <c r="L1" s="102" t="s">
        <v>116</v>
      </c>
      <c r="M1" s="103" t="s">
        <v>117</v>
      </c>
      <c r="N1" s="104" t="s">
        <v>119</v>
      </c>
      <c r="O1" s="286" t="s">
        <v>123</v>
      </c>
      <c r="P1" s="287"/>
      <c r="Q1" s="287"/>
      <c r="R1" s="287"/>
      <c r="S1" s="287"/>
      <c r="T1" s="288"/>
      <c r="U1" s="105" t="s">
        <v>110</v>
      </c>
      <c r="V1" s="333" t="s">
        <v>100</v>
      </c>
      <c r="W1" s="335" t="s">
        <v>124</v>
      </c>
    </row>
    <row r="2" spans="1:43" ht="15.75" thickBot="1" x14ac:dyDescent="0.3">
      <c r="B2" s="277"/>
      <c r="C2" s="279"/>
      <c r="D2" s="281"/>
      <c r="E2" s="283"/>
      <c r="F2" s="50" t="s">
        <v>114</v>
      </c>
      <c r="G2" s="51" t="s">
        <v>112</v>
      </c>
      <c r="H2" s="52" t="s">
        <v>112</v>
      </c>
      <c r="I2" s="53" t="s">
        <v>111</v>
      </c>
      <c r="J2" s="54" t="s">
        <v>94</v>
      </c>
      <c r="K2" s="55" t="s">
        <v>93</v>
      </c>
      <c r="L2" s="82" t="s">
        <v>115</v>
      </c>
      <c r="M2" s="56" t="s">
        <v>118</v>
      </c>
      <c r="N2" s="85" t="s">
        <v>120</v>
      </c>
      <c r="O2" s="57" t="s">
        <v>95</v>
      </c>
      <c r="P2" s="58" t="s">
        <v>96</v>
      </c>
      <c r="Q2" s="58" t="s">
        <v>97</v>
      </c>
      <c r="R2" s="58" t="s">
        <v>98</v>
      </c>
      <c r="S2" s="59" t="s">
        <v>99</v>
      </c>
      <c r="T2" s="93" t="s">
        <v>15</v>
      </c>
      <c r="U2" s="89" t="s">
        <v>15</v>
      </c>
      <c r="V2" s="334"/>
      <c r="W2" s="336"/>
    </row>
    <row r="3" spans="1:43" ht="31.15" hidden="1" customHeight="1" thickTop="1" thickBot="1" x14ac:dyDescent="0.3">
      <c r="A3" t="s">
        <v>90</v>
      </c>
      <c r="B3" s="106" t="s">
        <v>90</v>
      </c>
      <c r="C3" s="1" t="s">
        <v>2</v>
      </c>
      <c r="D3" s="60">
        <v>191212</v>
      </c>
      <c r="E3" s="61" t="s">
        <v>3</v>
      </c>
      <c r="F3" s="75">
        <v>56944</v>
      </c>
      <c r="G3" s="34">
        <v>50</v>
      </c>
      <c r="H3" s="42">
        <f>G3</f>
        <v>50</v>
      </c>
      <c r="I3" s="43">
        <v>500</v>
      </c>
      <c r="J3" s="44" t="s">
        <v>138</v>
      </c>
      <c r="K3" s="45"/>
      <c r="L3" s="83">
        <f>H3/(I3/1000)</f>
        <v>100</v>
      </c>
      <c r="M3" s="46"/>
      <c r="N3" s="86"/>
      <c r="O3" s="47"/>
      <c r="P3" s="48"/>
      <c r="Q3" s="48"/>
      <c r="R3" s="48"/>
      <c r="S3" s="49"/>
      <c r="T3" s="94"/>
      <c r="U3" s="90">
        <f>2*90</f>
        <v>180</v>
      </c>
      <c r="V3" s="70" t="str">
        <f>IF(U3&gt;=L3,"ok","défice de espaço")</f>
        <v>ok</v>
      </c>
      <c r="W3" s="107" t="s">
        <v>81</v>
      </c>
    </row>
    <row r="4" spans="1:43" ht="36" hidden="1" customHeight="1" thickBot="1" x14ac:dyDescent="0.3">
      <c r="A4" t="s">
        <v>90</v>
      </c>
      <c r="B4" s="108" t="s">
        <v>90</v>
      </c>
      <c r="C4" s="1" t="s">
        <v>4</v>
      </c>
      <c r="D4" s="62">
        <v>191212</v>
      </c>
      <c r="E4" s="63" t="s">
        <v>5</v>
      </c>
      <c r="F4" s="64">
        <v>23215</v>
      </c>
      <c r="G4" s="34">
        <v>20</v>
      </c>
      <c r="H4" s="35">
        <f>G4</f>
        <v>20</v>
      </c>
      <c r="I4" s="26">
        <v>350</v>
      </c>
      <c r="J4" s="29" t="s">
        <v>137</v>
      </c>
      <c r="K4" s="25">
        <f>28000/80</f>
        <v>350</v>
      </c>
      <c r="L4" s="84">
        <f>ROUND(H4/(I4/1000),0)</f>
        <v>57</v>
      </c>
      <c r="M4" s="32"/>
      <c r="N4" s="87"/>
      <c r="O4" s="30"/>
      <c r="P4" s="21"/>
      <c r="Q4" s="21"/>
      <c r="R4" s="21"/>
      <c r="S4" s="22"/>
      <c r="T4" s="95"/>
      <c r="U4" s="91">
        <f>2*30</f>
        <v>60</v>
      </c>
      <c r="V4" s="71" t="str">
        <f t="shared" ref="V4:V5" si="0">IF(U4&gt;=L4,"ok","défice de espaço")</f>
        <v>ok</v>
      </c>
      <c r="W4" s="109" t="s">
        <v>80</v>
      </c>
    </row>
    <row r="5" spans="1:43" ht="31.15" hidden="1" customHeight="1" thickBot="1" x14ac:dyDescent="0.3">
      <c r="A5" t="s">
        <v>90</v>
      </c>
      <c r="B5" s="108" t="s">
        <v>90</v>
      </c>
      <c r="C5" s="1" t="s">
        <v>11</v>
      </c>
      <c r="D5" s="295">
        <v>200301</v>
      </c>
      <c r="E5" s="296"/>
      <c r="F5" s="64">
        <v>83490</v>
      </c>
      <c r="G5" s="34">
        <v>312</v>
      </c>
      <c r="H5" s="35">
        <f>G5</f>
        <v>312</v>
      </c>
      <c r="I5" s="26">
        <v>208</v>
      </c>
      <c r="J5" s="29" t="s">
        <v>126</v>
      </c>
      <c r="K5" s="27"/>
      <c r="L5" s="84">
        <f>H5/(I5/1000)</f>
        <v>1500</v>
      </c>
      <c r="M5" s="32">
        <f>3.5</f>
        <v>3.5</v>
      </c>
      <c r="N5" s="87">
        <f>ROUND(L5/M5,0)</f>
        <v>429</v>
      </c>
      <c r="O5" s="31"/>
      <c r="P5" s="23"/>
      <c r="Q5" s="23"/>
      <c r="R5" s="23">
        <f>150+280</f>
        <v>430</v>
      </c>
      <c r="S5" s="24"/>
      <c r="T5" s="95"/>
      <c r="U5" s="91">
        <f>R5*M5</f>
        <v>1505</v>
      </c>
      <c r="V5" s="71" t="str">
        <f t="shared" si="0"/>
        <v>ok</v>
      </c>
      <c r="W5" s="109" t="s">
        <v>79</v>
      </c>
    </row>
    <row r="6" spans="1:43" ht="30.6" hidden="1" customHeight="1" thickBot="1" x14ac:dyDescent="0.3">
      <c r="A6" t="s">
        <v>82</v>
      </c>
      <c r="B6" s="110" t="s">
        <v>105</v>
      </c>
      <c r="C6" s="301" t="s">
        <v>103</v>
      </c>
      <c r="D6" s="9" t="s">
        <v>16</v>
      </c>
      <c r="E6" s="10" t="s">
        <v>12</v>
      </c>
      <c r="F6" s="76">
        <v>1000</v>
      </c>
      <c r="G6" s="36">
        <v>26</v>
      </c>
      <c r="H6" s="150">
        <f>G6+G7+G8</f>
        <v>49.2</v>
      </c>
      <c r="I6" s="210">
        <v>600</v>
      </c>
      <c r="J6" s="183" t="s">
        <v>131</v>
      </c>
      <c r="K6" s="184">
        <f>ROUND(1122/(1*1*1.9),0)</f>
        <v>591</v>
      </c>
      <c r="L6" s="216">
        <f>H6/(I6/1000)</f>
        <v>82.000000000000014</v>
      </c>
      <c r="M6" s="225">
        <v>3</v>
      </c>
      <c r="N6" s="228">
        <f>ROUND(L6/M6,1)</f>
        <v>27.3</v>
      </c>
      <c r="O6" s="264"/>
      <c r="P6" s="249">
        <f>35.5+16</f>
        <v>51.5</v>
      </c>
      <c r="Q6" s="267"/>
      <c r="R6" s="267"/>
      <c r="S6" s="292"/>
      <c r="T6" s="289">
        <f>O6+P6+Q6+R6+S6</f>
        <v>51.5</v>
      </c>
      <c r="U6" s="318"/>
      <c r="V6" s="235" t="str">
        <f>IF(T6&gt;=N6,"ok","défice de espaço")</f>
        <v>ok</v>
      </c>
      <c r="W6" s="238" t="s">
        <v>78</v>
      </c>
    </row>
    <row r="7" spans="1:43" ht="25.9" hidden="1" customHeight="1" thickBot="1" x14ac:dyDescent="0.3">
      <c r="A7" t="s">
        <v>83</v>
      </c>
      <c r="B7" s="111" t="s">
        <v>70</v>
      </c>
      <c r="C7" s="302"/>
      <c r="D7" s="297" t="s">
        <v>75</v>
      </c>
      <c r="E7" s="11" t="s">
        <v>13</v>
      </c>
      <c r="F7" s="77">
        <v>46</v>
      </c>
      <c r="G7" s="37">
        <v>23</v>
      </c>
      <c r="H7" s="151"/>
      <c r="I7" s="211"/>
      <c r="J7" s="183"/>
      <c r="K7" s="184"/>
      <c r="L7" s="217"/>
      <c r="M7" s="226"/>
      <c r="N7" s="229"/>
      <c r="O7" s="265"/>
      <c r="P7" s="251"/>
      <c r="Q7" s="268"/>
      <c r="R7" s="268"/>
      <c r="S7" s="293"/>
      <c r="T7" s="290"/>
      <c r="U7" s="319"/>
      <c r="V7" s="236"/>
      <c r="W7" s="239"/>
    </row>
    <row r="8" spans="1:43" ht="28.9" hidden="1" customHeight="1" thickBot="1" x14ac:dyDescent="0.3">
      <c r="A8" t="s">
        <v>83</v>
      </c>
      <c r="B8" s="112" t="s">
        <v>70</v>
      </c>
      <c r="C8" s="303"/>
      <c r="D8" s="195"/>
      <c r="E8" s="12" t="s">
        <v>14</v>
      </c>
      <c r="F8" s="78">
        <v>5</v>
      </c>
      <c r="G8" s="38">
        <v>0.2</v>
      </c>
      <c r="H8" s="152"/>
      <c r="I8" s="212"/>
      <c r="J8" s="183"/>
      <c r="K8" s="184"/>
      <c r="L8" s="218"/>
      <c r="M8" s="227"/>
      <c r="N8" s="230"/>
      <c r="O8" s="266"/>
      <c r="P8" s="250"/>
      <c r="Q8" s="269"/>
      <c r="R8" s="269"/>
      <c r="S8" s="294"/>
      <c r="T8" s="291"/>
      <c r="U8" s="320"/>
      <c r="V8" s="237"/>
      <c r="W8" s="240"/>
    </row>
    <row r="9" spans="1:43" ht="15.75" hidden="1" thickBot="1" x14ac:dyDescent="0.3">
      <c r="A9" t="s">
        <v>90</v>
      </c>
      <c r="B9" s="113" t="s">
        <v>90</v>
      </c>
      <c r="C9" s="196" t="s">
        <v>104</v>
      </c>
      <c r="D9" s="7">
        <v>191204</v>
      </c>
      <c r="E9" s="8" t="s">
        <v>7</v>
      </c>
      <c r="F9" s="33">
        <v>1869</v>
      </c>
      <c r="G9" s="39">
        <v>116</v>
      </c>
      <c r="H9" s="178">
        <f>G9+G10+G11+G12+G13</f>
        <v>201</v>
      </c>
      <c r="I9" s="153">
        <v>350</v>
      </c>
      <c r="J9" s="156" t="s">
        <v>130</v>
      </c>
      <c r="K9" s="203" t="s">
        <v>148</v>
      </c>
      <c r="L9" s="231">
        <f>ROUND(H9/(I9/1000),0)</f>
        <v>574</v>
      </c>
      <c r="M9" s="219">
        <v>4.2</v>
      </c>
      <c r="N9" s="222">
        <f>ROUND(L9/M9,1)</f>
        <v>136.69999999999999</v>
      </c>
      <c r="O9" s="255">
        <f>3.5+7+7+3.5+7+7</f>
        <v>35</v>
      </c>
      <c r="P9" s="252">
        <f>5*21</f>
        <v>105</v>
      </c>
      <c r="Q9" s="337"/>
      <c r="R9" s="337"/>
      <c r="S9" s="340"/>
      <c r="T9" s="298">
        <f>O9+P9+Q9+R9+S9</f>
        <v>140</v>
      </c>
      <c r="U9" s="328"/>
      <c r="V9" s="244" t="str">
        <f>IF(T9&gt;=N9,"ok","défice de espaço")</f>
        <v>ok</v>
      </c>
      <c r="W9" s="241" t="s">
        <v>78</v>
      </c>
      <c r="AK9" t="s">
        <v>143</v>
      </c>
      <c r="AL9" t="s">
        <v>144</v>
      </c>
      <c r="AM9" t="s">
        <v>145</v>
      </c>
      <c r="AN9" t="s">
        <v>147</v>
      </c>
      <c r="AO9" t="s">
        <v>146</v>
      </c>
      <c r="AP9" t="s">
        <v>145</v>
      </c>
    </row>
    <row r="10" spans="1:43" ht="24" hidden="1" customHeight="1" thickBot="1" x14ac:dyDescent="0.3">
      <c r="A10" t="s">
        <v>82</v>
      </c>
      <c r="B10" s="114" t="s">
        <v>105</v>
      </c>
      <c r="C10" s="197"/>
      <c r="D10" s="169" t="s">
        <v>76</v>
      </c>
      <c r="E10" s="11" t="s">
        <v>12</v>
      </c>
      <c r="F10" s="77">
        <v>950</v>
      </c>
      <c r="G10" s="37">
        <v>60</v>
      </c>
      <c r="H10" s="179"/>
      <c r="I10" s="154"/>
      <c r="J10" s="156"/>
      <c r="K10" s="203"/>
      <c r="L10" s="232"/>
      <c r="M10" s="220"/>
      <c r="N10" s="223"/>
      <c r="O10" s="256"/>
      <c r="P10" s="253"/>
      <c r="Q10" s="338"/>
      <c r="R10" s="338"/>
      <c r="S10" s="341"/>
      <c r="T10" s="299"/>
      <c r="U10" s="329"/>
      <c r="V10" s="245"/>
      <c r="W10" s="242"/>
      <c r="AJ10" t="s">
        <v>139</v>
      </c>
      <c r="AK10">
        <v>804</v>
      </c>
      <c r="AL10">
        <f>1*1*1.9</f>
        <v>1.9</v>
      </c>
      <c r="AM10">
        <f>AK10/AL10</f>
        <v>423.15789473684214</v>
      </c>
      <c r="AN10">
        <f>AO10/(AM10/1000)</f>
        <v>562.62686567164178</v>
      </c>
      <c r="AO10">
        <v>238.08</v>
      </c>
      <c r="AQ10" s="129">
        <f>AO10/$AO$14</f>
        <v>0.464093567251462</v>
      </c>
    </row>
    <row r="11" spans="1:43" ht="25.15" hidden="1" customHeight="1" thickBot="1" x14ac:dyDescent="0.3">
      <c r="A11" t="s">
        <v>82</v>
      </c>
      <c r="B11" s="114" t="s">
        <v>105</v>
      </c>
      <c r="C11" s="197"/>
      <c r="D11" s="170"/>
      <c r="E11" s="11" t="s">
        <v>14</v>
      </c>
      <c r="F11" s="77">
        <v>100</v>
      </c>
      <c r="G11" s="37">
        <v>3</v>
      </c>
      <c r="H11" s="179"/>
      <c r="I11" s="154"/>
      <c r="J11" s="156"/>
      <c r="K11" s="203"/>
      <c r="L11" s="232"/>
      <c r="M11" s="220"/>
      <c r="N11" s="223"/>
      <c r="O11" s="256"/>
      <c r="P11" s="253"/>
      <c r="Q11" s="338"/>
      <c r="R11" s="338"/>
      <c r="S11" s="341"/>
      <c r="T11" s="299"/>
      <c r="U11" s="329"/>
      <c r="V11" s="245"/>
      <c r="W11" s="242"/>
      <c r="AJ11" t="s">
        <v>140</v>
      </c>
      <c r="AK11">
        <f>(443+489)/2</f>
        <v>466</v>
      </c>
      <c r="AL11">
        <f t="shared" ref="AL11:AL14" si="1">1*1*1.9</f>
        <v>1.9</v>
      </c>
      <c r="AM11">
        <f>AK11/AL11</f>
        <v>245.26315789473685</v>
      </c>
      <c r="AN11">
        <f t="shared" ref="AN11:AN13" si="2">AO11/(AM11/1000)</f>
        <v>440.18025751072958</v>
      </c>
      <c r="AO11">
        <v>107.96</v>
      </c>
      <c r="AQ11" s="129">
        <f t="shared" ref="AQ11:AQ14" si="3">AO11/$AO$14</f>
        <v>0.21044834307992202</v>
      </c>
    </row>
    <row r="12" spans="1:43" ht="24.6" hidden="1" customHeight="1" thickBot="1" x14ac:dyDescent="0.3">
      <c r="A12" t="s">
        <v>83</v>
      </c>
      <c r="B12" s="111" t="s">
        <v>70</v>
      </c>
      <c r="C12" s="197"/>
      <c r="D12" s="191" t="s">
        <v>71</v>
      </c>
      <c r="E12" s="11" t="s">
        <v>13</v>
      </c>
      <c r="F12" s="77">
        <v>41.5</v>
      </c>
      <c r="G12" s="37">
        <v>20</v>
      </c>
      <c r="H12" s="179"/>
      <c r="I12" s="154"/>
      <c r="J12" s="156"/>
      <c r="K12" s="203"/>
      <c r="L12" s="232"/>
      <c r="M12" s="220"/>
      <c r="N12" s="223"/>
      <c r="O12" s="256"/>
      <c r="P12" s="253"/>
      <c r="Q12" s="338"/>
      <c r="R12" s="338"/>
      <c r="S12" s="341"/>
      <c r="T12" s="299"/>
      <c r="U12" s="329"/>
      <c r="V12" s="245"/>
      <c r="W12" s="242"/>
      <c r="AJ12" t="s">
        <v>141</v>
      </c>
      <c r="AK12">
        <v>534</v>
      </c>
      <c r="AL12">
        <f t="shared" si="1"/>
        <v>1.9</v>
      </c>
      <c r="AM12">
        <f>AK12/AL12</f>
        <v>281.0526315789474</v>
      </c>
      <c r="AN12">
        <f t="shared" si="2"/>
        <v>209.64044943820224</v>
      </c>
      <c r="AO12">
        <v>58.92</v>
      </c>
      <c r="AQ12" s="129">
        <f t="shared" si="3"/>
        <v>0.11485380116959065</v>
      </c>
    </row>
    <row r="13" spans="1:43" ht="27.6" hidden="1" customHeight="1" thickBot="1" x14ac:dyDescent="0.3">
      <c r="A13" t="s">
        <v>83</v>
      </c>
      <c r="B13" s="112" t="s">
        <v>70</v>
      </c>
      <c r="C13" s="198"/>
      <c r="D13" s="192"/>
      <c r="E13" s="12" t="s">
        <v>14</v>
      </c>
      <c r="F13" s="78">
        <v>4</v>
      </c>
      <c r="G13" s="38">
        <v>2</v>
      </c>
      <c r="H13" s="180"/>
      <c r="I13" s="155"/>
      <c r="J13" s="156"/>
      <c r="K13" s="203"/>
      <c r="L13" s="233"/>
      <c r="M13" s="221"/>
      <c r="N13" s="224"/>
      <c r="O13" s="257"/>
      <c r="P13" s="254"/>
      <c r="Q13" s="339"/>
      <c r="R13" s="339"/>
      <c r="S13" s="342"/>
      <c r="T13" s="300"/>
      <c r="U13" s="330"/>
      <c r="V13" s="246"/>
      <c r="W13" s="243"/>
      <c r="AJ13" t="s">
        <v>142</v>
      </c>
      <c r="AK13">
        <v>762</v>
      </c>
      <c r="AL13">
        <f t="shared" si="1"/>
        <v>1.9</v>
      </c>
      <c r="AM13">
        <f>AK13/AL13</f>
        <v>401.0526315789474</v>
      </c>
      <c r="AN13">
        <f t="shared" si="2"/>
        <v>269.39107611548559</v>
      </c>
      <c r="AO13">
        <v>108.04</v>
      </c>
      <c r="AQ13" s="129">
        <f t="shared" si="3"/>
        <v>0.21060428849902535</v>
      </c>
    </row>
    <row r="14" spans="1:43" hidden="1" x14ac:dyDescent="0.25">
      <c r="A14" t="s">
        <v>90</v>
      </c>
      <c r="B14" s="115" t="s">
        <v>90</v>
      </c>
      <c r="C14" s="304" t="s">
        <v>8</v>
      </c>
      <c r="D14" s="7">
        <v>191202</v>
      </c>
      <c r="E14" s="8" t="s">
        <v>7</v>
      </c>
      <c r="F14" s="33">
        <v>580</v>
      </c>
      <c r="G14" s="39">
        <v>40</v>
      </c>
      <c r="H14" s="181">
        <f>G14+G15+G16+G17+G18</f>
        <v>83.4</v>
      </c>
      <c r="I14" s="157">
        <v>1200</v>
      </c>
      <c r="J14" s="159" t="s">
        <v>128</v>
      </c>
      <c r="K14" s="234">
        <f>ROUND(23/(0.5*0.35*0.15),0)</f>
        <v>876</v>
      </c>
      <c r="L14" s="231">
        <f>ROUND(H14/(I14/1000)+H19/(I19/1000),0)</f>
        <v>96</v>
      </c>
      <c r="M14" s="219">
        <f>0.15*24</f>
        <v>3.5999999999999996</v>
      </c>
      <c r="N14" s="222">
        <f>ROUND(L14/M14,1)</f>
        <v>26.7</v>
      </c>
      <c r="O14" s="270"/>
      <c r="P14" s="273">
        <v>12</v>
      </c>
      <c r="Q14" s="261"/>
      <c r="R14" s="261"/>
      <c r="S14" s="308"/>
      <c r="T14" s="298">
        <f>O14+P14+Q14+R14+S14+O19+P19+Q19+R19+S19</f>
        <v>27.5</v>
      </c>
      <c r="U14" s="328"/>
      <c r="V14" s="244" t="str">
        <f>IF(T14&gt;=N14,"ok","défice de espaço")</f>
        <v>ok</v>
      </c>
      <c r="W14" s="241" t="s">
        <v>101</v>
      </c>
      <c r="AK14">
        <f>AK10+AK11+AK12+AK13</f>
        <v>2566</v>
      </c>
      <c r="AL14">
        <f t="shared" si="1"/>
        <v>1.9</v>
      </c>
      <c r="AM14">
        <f>AK14/4/AL14</f>
        <v>337.63157894736844</v>
      </c>
      <c r="AN14">
        <f>SUM(AN10:AN13)</f>
        <v>1481.838648736059</v>
      </c>
      <c r="AO14">
        <f>SUM(AO10:AO13)</f>
        <v>513</v>
      </c>
      <c r="AP14">
        <f>AO14/AN14*1000</f>
        <v>346.19153741034199</v>
      </c>
      <c r="AQ14" s="129">
        <f t="shared" si="3"/>
        <v>1</v>
      </c>
    </row>
    <row r="15" spans="1:43" hidden="1" x14ac:dyDescent="0.25">
      <c r="A15" t="s">
        <v>82</v>
      </c>
      <c r="B15" s="116" t="s">
        <v>105</v>
      </c>
      <c r="C15" s="193"/>
      <c r="D15" s="169" t="s">
        <v>77</v>
      </c>
      <c r="E15" s="11" t="s">
        <v>12</v>
      </c>
      <c r="F15" s="77">
        <v>150</v>
      </c>
      <c r="G15" s="37">
        <v>23</v>
      </c>
      <c r="H15" s="167"/>
      <c r="I15" s="158"/>
      <c r="J15" s="160"/>
      <c r="K15" s="201"/>
      <c r="L15" s="232"/>
      <c r="M15" s="220"/>
      <c r="N15" s="223"/>
      <c r="O15" s="271"/>
      <c r="P15" s="274"/>
      <c r="Q15" s="262"/>
      <c r="R15" s="262"/>
      <c r="S15" s="306"/>
      <c r="T15" s="299"/>
      <c r="U15" s="329"/>
      <c r="V15" s="245"/>
      <c r="W15" s="242"/>
    </row>
    <row r="16" spans="1:43" hidden="1" x14ac:dyDescent="0.25">
      <c r="A16" t="s">
        <v>82</v>
      </c>
      <c r="B16" s="116" t="s">
        <v>105</v>
      </c>
      <c r="C16" s="193"/>
      <c r="D16" s="170"/>
      <c r="E16" s="11" t="s">
        <v>14</v>
      </c>
      <c r="F16" s="77">
        <v>1</v>
      </c>
      <c r="G16" s="37">
        <v>0.2</v>
      </c>
      <c r="H16" s="167"/>
      <c r="I16" s="158"/>
      <c r="J16" s="160"/>
      <c r="K16" s="201"/>
      <c r="L16" s="232"/>
      <c r="M16" s="220"/>
      <c r="N16" s="223"/>
      <c r="O16" s="271"/>
      <c r="P16" s="274"/>
      <c r="Q16" s="262"/>
      <c r="R16" s="262"/>
      <c r="S16" s="306"/>
      <c r="T16" s="299"/>
      <c r="U16" s="329"/>
      <c r="V16" s="245"/>
      <c r="W16" s="242"/>
    </row>
    <row r="17" spans="1:23" ht="22.5" hidden="1" x14ac:dyDescent="0.25">
      <c r="A17" t="s">
        <v>83</v>
      </c>
      <c r="B17" s="116" t="s">
        <v>70</v>
      </c>
      <c r="C17" s="193"/>
      <c r="D17" s="189" t="s">
        <v>63</v>
      </c>
      <c r="E17" s="11" t="s">
        <v>13</v>
      </c>
      <c r="F17" s="77">
        <v>20</v>
      </c>
      <c r="G17" s="37">
        <v>20</v>
      </c>
      <c r="H17" s="167"/>
      <c r="I17" s="158"/>
      <c r="J17" s="160"/>
      <c r="K17" s="201"/>
      <c r="L17" s="232"/>
      <c r="M17" s="220"/>
      <c r="N17" s="223"/>
      <c r="O17" s="271"/>
      <c r="P17" s="274"/>
      <c r="Q17" s="262"/>
      <c r="R17" s="262"/>
      <c r="S17" s="306"/>
      <c r="T17" s="299"/>
      <c r="U17" s="329"/>
      <c r="V17" s="245"/>
      <c r="W17" s="242"/>
    </row>
    <row r="18" spans="1:23" ht="22.5" hidden="1" x14ac:dyDescent="0.25">
      <c r="A18" t="s">
        <v>83</v>
      </c>
      <c r="B18" s="117" t="s">
        <v>70</v>
      </c>
      <c r="C18" s="193"/>
      <c r="D18" s="190"/>
      <c r="E18" s="14" t="s">
        <v>14</v>
      </c>
      <c r="F18" s="79">
        <v>1</v>
      </c>
      <c r="G18" s="66">
        <v>0.2</v>
      </c>
      <c r="H18" s="167"/>
      <c r="I18" s="158"/>
      <c r="J18" s="160"/>
      <c r="K18" s="201"/>
      <c r="L18" s="232"/>
      <c r="M18" s="220"/>
      <c r="N18" s="223"/>
      <c r="O18" s="272"/>
      <c r="P18" s="274"/>
      <c r="Q18" s="263"/>
      <c r="R18" s="263"/>
      <c r="S18" s="309"/>
      <c r="T18" s="299"/>
      <c r="U18" s="329"/>
      <c r="V18" s="245"/>
      <c r="W18" s="242"/>
    </row>
    <row r="19" spans="1:23" hidden="1" x14ac:dyDescent="0.25">
      <c r="A19" t="s">
        <v>90</v>
      </c>
      <c r="B19" s="118" t="s">
        <v>90</v>
      </c>
      <c r="C19" s="193" t="s">
        <v>9</v>
      </c>
      <c r="D19" s="65">
        <v>191203</v>
      </c>
      <c r="E19" s="67" t="s">
        <v>7</v>
      </c>
      <c r="F19" s="80">
        <v>205</v>
      </c>
      <c r="G19" s="68">
        <v>10</v>
      </c>
      <c r="H19" s="167">
        <f>G19+G20+G21</f>
        <v>13.2</v>
      </c>
      <c r="I19" s="158">
        <v>500</v>
      </c>
      <c r="J19" s="160" t="s">
        <v>129</v>
      </c>
      <c r="K19" s="201">
        <f>ROUND(13/(0.5*0.35*0.15),0)</f>
        <v>495</v>
      </c>
      <c r="L19" s="232"/>
      <c r="M19" s="220"/>
      <c r="N19" s="223"/>
      <c r="O19" s="315">
        <v>3.5</v>
      </c>
      <c r="P19" s="274">
        <v>12</v>
      </c>
      <c r="Q19" s="310"/>
      <c r="R19" s="310"/>
      <c r="S19" s="305"/>
      <c r="T19" s="299"/>
      <c r="U19" s="329"/>
      <c r="V19" s="245"/>
      <c r="W19" s="242"/>
    </row>
    <row r="20" spans="1:23" ht="22.5" hidden="1" x14ac:dyDescent="0.25">
      <c r="A20" t="s">
        <v>83</v>
      </c>
      <c r="B20" s="116" t="s">
        <v>70</v>
      </c>
      <c r="C20" s="193"/>
      <c r="D20" s="191" t="s">
        <v>64</v>
      </c>
      <c r="E20" s="11" t="s">
        <v>13</v>
      </c>
      <c r="F20" s="77">
        <v>5</v>
      </c>
      <c r="G20" s="37">
        <v>3</v>
      </c>
      <c r="H20" s="167"/>
      <c r="I20" s="158"/>
      <c r="J20" s="160"/>
      <c r="K20" s="201"/>
      <c r="L20" s="232"/>
      <c r="M20" s="220"/>
      <c r="N20" s="223"/>
      <c r="O20" s="315"/>
      <c r="P20" s="274"/>
      <c r="Q20" s="262"/>
      <c r="R20" s="262"/>
      <c r="S20" s="306"/>
      <c r="T20" s="299"/>
      <c r="U20" s="329"/>
      <c r="V20" s="245"/>
      <c r="W20" s="242"/>
    </row>
    <row r="21" spans="1:23" ht="23.25" hidden="1" thickBot="1" x14ac:dyDescent="0.3">
      <c r="A21" t="s">
        <v>83</v>
      </c>
      <c r="B21" s="119" t="s">
        <v>70</v>
      </c>
      <c r="C21" s="194"/>
      <c r="D21" s="192"/>
      <c r="E21" s="12" t="s">
        <v>14</v>
      </c>
      <c r="F21" s="74">
        <v>0.5</v>
      </c>
      <c r="G21" s="38">
        <v>0.2</v>
      </c>
      <c r="H21" s="168"/>
      <c r="I21" s="171"/>
      <c r="J21" s="185"/>
      <c r="K21" s="202"/>
      <c r="L21" s="233"/>
      <c r="M21" s="221"/>
      <c r="N21" s="224"/>
      <c r="O21" s="316"/>
      <c r="P21" s="275"/>
      <c r="Q21" s="311"/>
      <c r="R21" s="311"/>
      <c r="S21" s="307"/>
      <c r="T21" s="300"/>
      <c r="U21" s="330"/>
      <c r="V21" s="246"/>
      <c r="W21" s="243"/>
    </row>
    <row r="22" spans="1:23" ht="15.75" hidden="1" thickBot="1" x14ac:dyDescent="0.3">
      <c r="A22" t="s">
        <v>90</v>
      </c>
      <c r="B22" s="120" t="s">
        <v>90</v>
      </c>
      <c r="C22" s="196" t="s">
        <v>6</v>
      </c>
      <c r="D22" s="7">
        <v>191201</v>
      </c>
      <c r="E22" s="8" t="s">
        <v>7</v>
      </c>
      <c r="F22" s="33">
        <v>228</v>
      </c>
      <c r="G22" s="39">
        <v>46</v>
      </c>
      <c r="H22" s="179">
        <f>G22+G23+G24</f>
        <v>69.2</v>
      </c>
      <c r="I22" s="154">
        <v>600</v>
      </c>
      <c r="J22" s="156" t="s">
        <v>131</v>
      </c>
      <c r="K22" s="203">
        <f>ROUND(1150/(1*1*1.9),0)</f>
        <v>605</v>
      </c>
      <c r="L22" s="217">
        <f>ROUND(H22/(I22/1000),0)</f>
        <v>115</v>
      </c>
      <c r="M22" s="225">
        <v>3.3</v>
      </c>
      <c r="N22" s="228">
        <f>ROUND(L22/M22,1)</f>
        <v>34.799999999999997</v>
      </c>
      <c r="O22" s="317">
        <v>3.5</v>
      </c>
      <c r="P22" s="273">
        <v>32.5</v>
      </c>
      <c r="Q22" s="261"/>
      <c r="R22" s="261"/>
      <c r="S22" s="308"/>
      <c r="T22" s="289">
        <f>O22+P22+Q22+R22+S22</f>
        <v>36</v>
      </c>
      <c r="U22" s="328"/>
      <c r="V22" s="235" t="str">
        <f>IF(T22&gt;=N22,"ok","défice de espaço")</f>
        <v>ok</v>
      </c>
      <c r="W22" s="238" t="s">
        <v>78</v>
      </c>
    </row>
    <row r="23" spans="1:23" ht="28.9" hidden="1" customHeight="1" thickBot="1" x14ac:dyDescent="0.3">
      <c r="A23" t="s">
        <v>82</v>
      </c>
      <c r="B23" s="121" t="s">
        <v>105</v>
      </c>
      <c r="C23" s="197"/>
      <c r="D23" s="169" t="s">
        <v>65</v>
      </c>
      <c r="E23" s="11" t="s">
        <v>12</v>
      </c>
      <c r="F23" s="77">
        <v>180</v>
      </c>
      <c r="G23" s="37">
        <v>23</v>
      </c>
      <c r="H23" s="179"/>
      <c r="I23" s="154"/>
      <c r="J23" s="156"/>
      <c r="K23" s="203"/>
      <c r="L23" s="217"/>
      <c r="M23" s="226"/>
      <c r="N23" s="229"/>
      <c r="O23" s="315"/>
      <c r="P23" s="274"/>
      <c r="Q23" s="262"/>
      <c r="R23" s="262"/>
      <c r="S23" s="306"/>
      <c r="T23" s="290"/>
      <c r="U23" s="329"/>
      <c r="V23" s="236"/>
      <c r="W23" s="239"/>
    </row>
    <row r="24" spans="1:23" ht="15.75" hidden="1" thickBot="1" x14ac:dyDescent="0.3">
      <c r="A24" t="s">
        <v>82</v>
      </c>
      <c r="B24" s="122" t="s">
        <v>105</v>
      </c>
      <c r="C24" s="198"/>
      <c r="D24" s="199"/>
      <c r="E24" s="12" t="s">
        <v>14</v>
      </c>
      <c r="F24" s="78">
        <v>1</v>
      </c>
      <c r="G24" s="38">
        <v>0.2</v>
      </c>
      <c r="H24" s="180"/>
      <c r="I24" s="155"/>
      <c r="J24" s="156"/>
      <c r="K24" s="203"/>
      <c r="L24" s="218"/>
      <c r="M24" s="227"/>
      <c r="N24" s="230"/>
      <c r="O24" s="316"/>
      <c r="P24" s="275"/>
      <c r="Q24" s="311"/>
      <c r="R24" s="311"/>
      <c r="S24" s="307"/>
      <c r="T24" s="291"/>
      <c r="U24" s="330"/>
      <c r="V24" s="237"/>
      <c r="W24" s="240"/>
    </row>
    <row r="25" spans="1:23" ht="14.45" customHeight="1" thickTop="1" thickBot="1" x14ac:dyDescent="0.3">
      <c r="A25" t="s">
        <v>82</v>
      </c>
      <c r="B25" s="162" t="s">
        <v>105</v>
      </c>
      <c r="C25" s="9" t="s">
        <v>17</v>
      </c>
      <c r="D25" s="15" t="s">
        <v>18</v>
      </c>
      <c r="E25" s="10" t="s">
        <v>13</v>
      </c>
      <c r="F25" s="76">
        <v>5</v>
      </c>
      <c r="G25" s="36">
        <v>0.5</v>
      </c>
      <c r="H25" s="150">
        <f>G25+G26+G27+G28+G29</f>
        <v>2.5</v>
      </c>
      <c r="I25" s="172">
        <v>900</v>
      </c>
      <c r="J25" s="183" t="s">
        <v>91</v>
      </c>
      <c r="K25" s="184"/>
      <c r="L25" s="216">
        <f>ROUND(H25/(I25/1000),1)</f>
        <v>2.8</v>
      </c>
      <c r="M25" s="226">
        <v>2</v>
      </c>
      <c r="N25" s="228">
        <f>ROUND(L25/M25,1)</f>
        <v>1.4</v>
      </c>
      <c r="O25" s="270"/>
      <c r="P25" s="261"/>
      <c r="Q25" s="261"/>
      <c r="R25" s="261"/>
      <c r="S25" s="312">
        <f>1+1</f>
        <v>2</v>
      </c>
      <c r="T25" s="289">
        <f>O25+P25+Q25+R25+S25</f>
        <v>2</v>
      </c>
      <c r="U25" s="318"/>
      <c r="V25" s="235" t="str">
        <f>IF(T25&gt;=N25,"ok","défice de espaço")</f>
        <v>ok</v>
      </c>
      <c r="W25" s="238" t="s">
        <v>151</v>
      </c>
    </row>
    <row r="26" spans="1:23" ht="23.25" thickBot="1" x14ac:dyDescent="0.3">
      <c r="A26" t="s">
        <v>82</v>
      </c>
      <c r="B26" s="163"/>
      <c r="C26" s="69" t="s">
        <v>19</v>
      </c>
      <c r="D26" s="13" t="s">
        <v>20</v>
      </c>
      <c r="E26" s="11" t="s">
        <v>13</v>
      </c>
      <c r="F26" s="77">
        <v>5</v>
      </c>
      <c r="G26" s="37">
        <v>0.5</v>
      </c>
      <c r="H26" s="151"/>
      <c r="I26" s="182"/>
      <c r="J26" s="183"/>
      <c r="K26" s="184"/>
      <c r="L26" s="217"/>
      <c r="M26" s="226"/>
      <c r="N26" s="229"/>
      <c r="O26" s="271"/>
      <c r="P26" s="262"/>
      <c r="Q26" s="262"/>
      <c r="R26" s="262"/>
      <c r="S26" s="313"/>
      <c r="T26" s="290"/>
      <c r="U26" s="319"/>
      <c r="V26" s="236"/>
      <c r="W26" s="239"/>
    </row>
    <row r="27" spans="1:23" ht="27" customHeight="1" thickBot="1" x14ac:dyDescent="0.3">
      <c r="A27" t="s">
        <v>82</v>
      </c>
      <c r="B27" s="163"/>
      <c r="C27" s="69" t="s">
        <v>21</v>
      </c>
      <c r="D27" s="13" t="s">
        <v>22</v>
      </c>
      <c r="E27" s="11" t="s">
        <v>13</v>
      </c>
      <c r="F27" s="77">
        <v>5</v>
      </c>
      <c r="G27" s="37">
        <v>0.5</v>
      </c>
      <c r="H27" s="151"/>
      <c r="I27" s="182"/>
      <c r="J27" s="183"/>
      <c r="K27" s="184"/>
      <c r="L27" s="217"/>
      <c r="M27" s="226"/>
      <c r="N27" s="229"/>
      <c r="O27" s="271"/>
      <c r="P27" s="262"/>
      <c r="Q27" s="262"/>
      <c r="R27" s="262"/>
      <c r="S27" s="313"/>
      <c r="T27" s="290"/>
      <c r="U27" s="319"/>
      <c r="V27" s="236"/>
      <c r="W27" s="239"/>
    </row>
    <row r="28" spans="1:23" ht="35.450000000000003" customHeight="1" thickBot="1" x14ac:dyDescent="0.3">
      <c r="A28" t="s">
        <v>82</v>
      </c>
      <c r="B28" s="163"/>
      <c r="C28" s="69" t="s">
        <v>23</v>
      </c>
      <c r="D28" s="13" t="s">
        <v>24</v>
      </c>
      <c r="E28" s="11" t="s">
        <v>13</v>
      </c>
      <c r="F28" s="77">
        <v>5</v>
      </c>
      <c r="G28" s="37">
        <v>0.5</v>
      </c>
      <c r="H28" s="151"/>
      <c r="I28" s="182"/>
      <c r="J28" s="183"/>
      <c r="K28" s="184"/>
      <c r="L28" s="217"/>
      <c r="M28" s="226"/>
      <c r="N28" s="229"/>
      <c r="O28" s="271"/>
      <c r="P28" s="262"/>
      <c r="Q28" s="262"/>
      <c r="R28" s="262"/>
      <c r="S28" s="313"/>
      <c r="T28" s="290"/>
      <c r="U28" s="319"/>
      <c r="V28" s="236"/>
      <c r="W28" s="239"/>
    </row>
    <row r="29" spans="1:23" ht="27.6" customHeight="1" thickBot="1" x14ac:dyDescent="0.3">
      <c r="A29" t="s">
        <v>82</v>
      </c>
      <c r="B29" s="164"/>
      <c r="C29" s="20" t="s">
        <v>25</v>
      </c>
      <c r="D29" s="16" t="s">
        <v>26</v>
      </c>
      <c r="E29" s="12" t="s">
        <v>13</v>
      </c>
      <c r="F29" s="78">
        <v>5</v>
      </c>
      <c r="G29" s="38">
        <v>0.5</v>
      </c>
      <c r="H29" s="152"/>
      <c r="I29" s="173"/>
      <c r="J29" s="183"/>
      <c r="K29" s="184"/>
      <c r="L29" s="218"/>
      <c r="M29" s="227"/>
      <c r="N29" s="230"/>
      <c r="O29" s="321"/>
      <c r="P29" s="311"/>
      <c r="Q29" s="311"/>
      <c r="R29" s="311"/>
      <c r="S29" s="314"/>
      <c r="T29" s="291"/>
      <c r="U29" s="320"/>
      <c r="V29" s="237"/>
      <c r="W29" s="240"/>
    </row>
    <row r="30" spans="1:23" ht="28.9" customHeight="1" thickBot="1" x14ac:dyDescent="0.3">
      <c r="A30" t="s">
        <v>82</v>
      </c>
      <c r="B30" s="162" t="s">
        <v>105</v>
      </c>
      <c r="C30" s="187" t="s">
        <v>66</v>
      </c>
      <c r="D30" s="165" t="s">
        <v>67</v>
      </c>
      <c r="E30" s="10" t="s">
        <v>12</v>
      </c>
      <c r="F30" s="76">
        <v>2760</v>
      </c>
      <c r="G30" s="36">
        <v>50</v>
      </c>
      <c r="H30" s="150">
        <f>G30+G31</f>
        <v>53</v>
      </c>
      <c r="I30" s="172">
        <v>53</v>
      </c>
      <c r="J30" s="200" t="s">
        <v>127</v>
      </c>
      <c r="K30" s="184"/>
      <c r="L30" s="216">
        <f>ROUND(H30/(I30/1000),0)</f>
        <v>1000</v>
      </c>
      <c r="M30" s="225">
        <v>4.3</v>
      </c>
      <c r="N30" s="228">
        <f>ROUND(L30/M30,1)</f>
        <v>232.6</v>
      </c>
      <c r="O30" s="264"/>
      <c r="P30" s="267"/>
      <c r="Q30" s="267"/>
      <c r="R30" s="322">
        <f>12.5*13.6+8.7*7.75+4.7*2.7</f>
        <v>250.11500000000001</v>
      </c>
      <c r="S30" s="292"/>
      <c r="T30" s="289">
        <f>ROUND(O30+P30+Q30+R30+S30,0)</f>
        <v>250</v>
      </c>
      <c r="U30" s="318"/>
      <c r="V30" s="235" t="str">
        <f>IF(T30&gt;=N30,"ok","défice de espaço")</f>
        <v>ok</v>
      </c>
      <c r="W30" s="238" t="s">
        <v>79</v>
      </c>
    </row>
    <row r="31" spans="1:23" ht="15.75" thickBot="1" x14ac:dyDescent="0.3">
      <c r="A31" t="s">
        <v>82</v>
      </c>
      <c r="B31" s="164"/>
      <c r="C31" s="195"/>
      <c r="D31" s="192"/>
      <c r="E31" s="12" t="s">
        <v>14</v>
      </c>
      <c r="F31" s="78">
        <v>120</v>
      </c>
      <c r="G31" s="38">
        <v>3</v>
      </c>
      <c r="H31" s="152"/>
      <c r="I31" s="173"/>
      <c r="J31" s="200"/>
      <c r="K31" s="184"/>
      <c r="L31" s="218"/>
      <c r="M31" s="227"/>
      <c r="N31" s="230"/>
      <c r="O31" s="266"/>
      <c r="P31" s="269"/>
      <c r="Q31" s="269"/>
      <c r="R31" s="323"/>
      <c r="S31" s="294"/>
      <c r="T31" s="291"/>
      <c r="U31" s="320"/>
      <c r="V31" s="237"/>
      <c r="W31" s="240"/>
    </row>
    <row r="32" spans="1:23" ht="21" customHeight="1" thickBot="1" x14ac:dyDescent="0.3">
      <c r="A32" t="s">
        <v>82</v>
      </c>
      <c r="B32" s="162" t="s">
        <v>105</v>
      </c>
      <c r="C32" s="187" t="s">
        <v>68</v>
      </c>
      <c r="D32" s="165" t="s">
        <v>69</v>
      </c>
      <c r="E32" s="10" t="s">
        <v>12</v>
      </c>
      <c r="F32" s="76">
        <v>3000</v>
      </c>
      <c r="G32" s="36">
        <v>46</v>
      </c>
      <c r="H32" s="150">
        <f>G32+G33</f>
        <v>46.3</v>
      </c>
      <c r="I32" s="172">
        <v>103</v>
      </c>
      <c r="J32" s="200" t="s">
        <v>127</v>
      </c>
      <c r="K32" s="184"/>
      <c r="L32" s="216">
        <f>ROUND(H32/(I32/1000),0)</f>
        <v>450</v>
      </c>
      <c r="M32" s="225">
        <v>3</v>
      </c>
      <c r="N32" s="228">
        <f>ROUND(L32/M32,1)</f>
        <v>150</v>
      </c>
      <c r="O32" s="264"/>
      <c r="P32" s="267"/>
      <c r="Q32" s="267"/>
      <c r="R32" s="322">
        <f>14.7*6.5+10*5.45</f>
        <v>150.05000000000001</v>
      </c>
      <c r="S32" s="292"/>
      <c r="T32" s="289">
        <f>ROUND(O32+P32+Q32+R32+S32,0)</f>
        <v>150</v>
      </c>
      <c r="U32" s="318"/>
      <c r="V32" s="235" t="str">
        <f>IF(T32&gt;=N32,"ok","défice de espaço")</f>
        <v>ok</v>
      </c>
      <c r="W32" s="238" t="s">
        <v>79</v>
      </c>
    </row>
    <row r="33" spans="1:23" ht="22.9" customHeight="1" thickBot="1" x14ac:dyDescent="0.3">
      <c r="A33" t="s">
        <v>82</v>
      </c>
      <c r="B33" s="164"/>
      <c r="C33" s="195"/>
      <c r="D33" s="192"/>
      <c r="E33" s="12" t="s">
        <v>14</v>
      </c>
      <c r="F33" s="78">
        <v>6</v>
      </c>
      <c r="G33" s="38">
        <v>0.3</v>
      </c>
      <c r="H33" s="152"/>
      <c r="I33" s="173"/>
      <c r="J33" s="200"/>
      <c r="K33" s="184"/>
      <c r="L33" s="218"/>
      <c r="M33" s="227"/>
      <c r="N33" s="230"/>
      <c r="O33" s="266"/>
      <c r="P33" s="269"/>
      <c r="Q33" s="269"/>
      <c r="R33" s="323"/>
      <c r="S33" s="294"/>
      <c r="T33" s="291"/>
      <c r="U33" s="320"/>
      <c r="V33" s="237"/>
      <c r="W33" s="240"/>
    </row>
    <row r="34" spans="1:23" ht="15.75" thickBot="1" x14ac:dyDescent="0.3">
      <c r="A34" s="5" t="s">
        <v>84</v>
      </c>
      <c r="B34" s="162" t="s">
        <v>27</v>
      </c>
      <c r="C34" s="9" t="s">
        <v>28</v>
      </c>
      <c r="D34" s="15" t="s">
        <v>29</v>
      </c>
      <c r="E34" s="10" t="s">
        <v>13</v>
      </c>
      <c r="F34" s="76">
        <v>80</v>
      </c>
      <c r="G34" s="36">
        <v>6</v>
      </c>
      <c r="H34" s="150">
        <f>G34+G35</f>
        <v>9</v>
      </c>
      <c r="I34" s="172">
        <v>100</v>
      </c>
      <c r="J34" s="200" t="s">
        <v>132</v>
      </c>
      <c r="K34" s="184">
        <f>3000/30</f>
        <v>100</v>
      </c>
      <c r="L34" s="216">
        <f>ROUND(H34/(I34/1000),0)</f>
        <v>90</v>
      </c>
      <c r="M34" s="225">
        <v>2</v>
      </c>
      <c r="N34" s="228">
        <f>ROUND(L34/M34,1)</f>
        <v>45</v>
      </c>
      <c r="O34" s="264"/>
      <c r="P34" s="267"/>
      <c r="Q34" s="267"/>
      <c r="R34" s="249">
        <v>125</v>
      </c>
      <c r="S34" s="292"/>
      <c r="T34" s="289">
        <f>O34+P34+Q34+R34+S34</f>
        <v>125</v>
      </c>
      <c r="U34" s="318"/>
      <c r="V34" s="235" t="str">
        <f>IF(T34&gt;=N34,"ok","défice de espaço")</f>
        <v>ok</v>
      </c>
      <c r="W34" s="238" t="s">
        <v>125</v>
      </c>
    </row>
    <row r="35" spans="1:23" ht="23.25" thickBot="1" x14ac:dyDescent="0.3">
      <c r="A35" s="5" t="s">
        <v>84</v>
      </c>
      <c r="B35" s="164"/>
      <c r="C35" s="20" t="s">
        <v>58</v>
      </c>
      <c r="D35" s="16" t="s">
        <v>59</v>
      </c>
      <c r="E35" s="12" t="s">
        <v>13</v>
      </c>
      <c r="F35" s="78">
        <v>10</v>
      </c>
      <c r="G35" s="38">
        <v>3</v>
      </c>
      <c r="H35" s="152"/>
      <c r="I35" s="173"/>
      <c r="J35" s="200"/>
      <c r="K35" s="184"/>
      <c r="L35" s="218"/>
      <c r="M35" s="227"/>
      <c r="N35" s="230"/>
      <c r="O35" s="266"/>
      <c r="P35" s="269"/>
      <c r="Q35" s="269"/>
      <c r="R35" s="250"/>
      <c r="S35" s="294"/>
      <c r="T35" s="291"/>
      <c r="U35" s="320"/>
      <c r="V35" s="237"/>
      <c r="W35" s="240"/>
    </row>
    <row r="36" spans="1:23" ht="23.25" thickBot="1" x14ac:dyDescent="0.3">
      <c r="A36" t="s">
        <v>90</v>
      </c>
      <c r="B36" s="113" t="s">
        <v>106</v>
      </c>
      <c r="C36" s="175" t="s">
        <v>10</v>
      </c>
      <c r="D36" s="7">
        <v>191205</v>
      </c>
      <c r="E36" s="8" t="s">
        <v>7</v>
      </c>
      <c r="F36" s="33">
        <v>449</v>
      </c>
      <c r="G36" s="39">
        <v>50</v>
      </c>
      <c r="H36" s="178">
        <f>G36+G37+G38</f>
        <v>180</v>
      </c>
      <c r="I36" s="207">
        <v>399</v>
      </c>
      <c r="J36" s="156" t="s">
        <v>126</v>
      </c>
      <c r="K36" s="203"/>
      <c r="L36" s="231">
        <f>ROUND(H36/(I36/1000),0)</f>
        <v>451</v>
      </c>
      <c r="M36" s="219">
        <v>3.5</v>
      </c>
      <c r="N36" s="222">
        <f>ROUND(L36/M36,1)</f>
        <v>128.9</v>
      </c>
      <c r="O36" s="264"/>
      <c r="P36" s="267"/>
      <c r="Q36" s="267"/>
      <c r="R36" s="249">
        <v>147</v>
      </c>
      <c r="S36" s="292"/>
      <c r="T36" s="298">
        <f>O36+P36+Q36+R36+S36</f>
        <v>147</v>
      </c>
      <c r="U36" s="328"/>
      <c r="V36" s="244" t="str">
        <f>IF(T36&gt;=N36,"ok","défice de espaço")</f>
        <v>ok</v>
      </c>
      <c r="W36" s="238" t="s">
        <v>79</v>
      </c>
    </row>
    <row r="37" spans="1:23" ht="15.75" thickBot="1" x14ac:dyDescent="0.3">
      <c r="A37" s="5" t="s">
        <v>85</v>
      </c>
      <c r="B37" s="123" t="s">
        <v>107</v>
      </c>
      <c r="C37" s="176"/>
      <c r="D37" s="13" t="s">
        <v>30</v>
      </c>
      <c r="E37" s="11" t="s">
        <v>13</v>
      </c>
      <c r="F37" s="77">
        <v>3000</v>
      </c>
      <c r="G37" s="37">
        <v>100</v>
      </c>
      <c r="H37" s="179"/>
      <c r="I37" s="208"/>
      <c r="J37" s="156"/>
      <c r="K37" s="203"/>
      <c r="L37" s="232"/>
      <c r="M37" s="220"/>
      <c r="N37" s="223"/>
      <c r="O37" s="265"/>
      <c r="P37" s="268"/>
      <c r="Q37" s="268"/>
      <c r="R37" s="251"/>
      <c r="S37" s="293"/>
      <c r="T37" s="299"/>
      <c r="U37" s="329"/>
      <c r="V37" s="245"/>
      <c r="W37" s="239"/>
    </row>
    <row r="38" spans="1:23" ht="15.75" thickBot="1" x14ac:dyDescent="0.3">
      <c r="A38" s="5" t="s">
        <v>85</v>
      </c>
      <c r="B38" s="124" t="s">
        <v>107</v>
      </c>
      <c r="C38" s="177"/>
      <c r="D38" s="16" t="s">
        <v>49</v>
      </c>
      <c r="E38" s="12" t="s">
        <v>13</v>
      </c>
      <c r="F38" s="78">
        <v>100</v>
      </c>
      <c r="G38" s="38">
        <v>30</v>
      </c>
      <c r="H38" s="180"/>
      <c r="I38" s="209"/>
      <c r="J38" s="156"/>
      <c r="K38" s="203"/>
      <c r="L38" s="233"/>
      <c r="M38" s="221"/>
      <c r="N38" s="224"/>
      <c r="O38" s="266"/>
      <c r="P38" s="269"/>
      <c r="Q38" s="269"/>
      <c r="R38" s="250"/>
      <c r="S38" s="294"/>
      <c r="T38" s="300"/>
      <c r="U38" s="330"/>
      <c r="V38" s="246"/>
      <c r="W38" s="240"/>
    </row>
    <row r="39" spans="1:23" ht="43.15" customHeight="1" thickBot="1" x14ac:dyDescent="0.3">
      <c r="A39" s="5" t="s">
        <v>86</v>
      </c>
      <c r="B39" s="88" t="s">
        <v>31</v>
      </c>
      <c r="C39" s="17" t="s">
        <v>32</v>
      </c>
      <c r="D39" s="18" t="s">
        <v>33</v>
      </c>
      <c r="E39" s="19" t="s">
        <v>13</v>
      </c>
      <c r="F39" s="81">
        <v>1400</v>
      </c>
      <c r="G39" s="40">
        <v>100</v>
      </c>
      <c r="H39" s="41">
        <f>G39</f>
        <v>100</v>
      </c>
      <c r="I39" s="28">
        <v>140</v>
      </c>
      <c r="J39" s="213" t="s">
        <v>92</v>
      </c>
      <c r="K39" s="214"/>
      <c r="L39" s="84">
        <f>ROUND(H39/(I39/1000),0)</f>
        <v>714</v>
      </c>
      <c r="M39" s="32">
        <v>2</v>
      </c>
      <c r="N39" s="87">
        <f>ROUND(L39/M39,1)</f>
        <v>357</v>
      </c>
      <c r="O39" s="31"/>
      <c r="P39" s="23"/>
      <c r="Q39" s="23"/>
      <c r="R39" s="23">
        <v>450</v>
      </c>
      <c r="S39" s="24"/>
      <c r="T39" s="96">
        <f>O39+P39+Q39+R39+S39</f>
        <v>450</v>
      </c>
      <c r="U39" s="92"/>
      <c r="V39" s="72" t="str">
        <f>IF(T39&gt;=N39,"ok","défice de espaço")</f>
        <v>ok</v>
      </c>
      <c r="W39" s="125" t="s">
        <v>79</v>
      </c>
    </row>
    <row r="40" spans="1:23" ht="34.5" thickBot="1" x14ac:dyDescent="0.3">
      <c r="A40" s="5" t="s">
        <v>87</v>
      </c>
      <c r="B40" s="162" t="s">
        <v>34</v>
      </c>
      <c r="C40" s="9" t="s">
        <v>35</v>
      </c>
      <c r="D40" s="15" t="s">
        <v>36</v>
      </c>
      <c r="E40" s="10" t="s">
        <v>13</v>
      </c>
      <c r="F40" s="76">
        <v>50</v>
      </c>
      <c r="G40" s="36">
        <v>1.5</v>
      </c>
      <c r="H40" s="150">
        <f>G40+G41+G42</f>
        <v>6</v>
      </c>
      <c r="I40" s="210">
        <v>70</v>
      </c>
      <c r="J40" s="200" t="s">
        <v>133</v>
      </c>
      <c r="K40" s="206">
        <f>ROUND(2000/30,0)</f>
        <v>67</v>
      </c>
      <c r="L40" s="231">
        <f>ROUND(H40/(I40/1000),0)</f>
        <v>86</v>
      </c>
      <c r="M40" s="219">
        <v>3.5</v>
      </c>
      <c r="N40" s="222">
        <f>ROUND(L40/M40,1)</f>
        <v>24.6</v>
      </c>
      <c r="O40" s="264"/>
      <c r="P40" s="267"/>
      <c r="Q40" s="267"/>
      <c r="R40" s="249">
        <v>105</v>
      </c>
      <c r="S40" s="292"/>
      <c r="T40" s="298">
        <f>O40+P40+Q40+R40+S40</f>
        <v>105</v>
      </c>
      <c r="U40" s="318"/>
      <c r="V40" s="244" t="str">
        <f>IF(T40&gt;=N40,"ok","défice de espaço")</f>
        <v>ok</v>
      </c>
      <c r="W40" s="238" t="s">
        <v>125</v>
      </c>
    </row>
    <row r="41" spans="1:23" ht="15.75" thickBot="1" x14ac:dyDescent="0.3">
      <c r="A41" s="5" t="s">
        <v>87</v>
      </c>
      <c r="B41" s="163"/>
      <c r="C41" s="69" t="s">
        <v>47</v>
      </c>
      <c r="D41" s="13" t="s">
        <v>48</v>
      </c>
      <c r="E41" s="11" t="s">
        <v>13</v>
      </c>
      <c r="F41" s="77">
        <v>100</v>
      </c>
      <c r="G41" s="37">
        <v>1.5</v>
      </c>
      <c r="H41" s="151"/>
      <c r="I41" s="211"/>
      <c r="J41" s="200"/>
      <c r="K41" s="206"/>
      <c r="L41" s="232"/>
      <c r="M41" s="220"/>
      <c r="N41" s="223"/>
      <c r="O41" s="265"/>
      <c r="P41" s="268"/>
      <c r="Q41" s="268"/>
      <c r="R41" s="251"/>
      <c r="S41" s="293"/>
      <c r="T41" s="299"/>
      <c r="U41" s="319"/>
      <c r="V41" s="245"/>
      <c r="W41" s="239"/>
    </row>
    <row r="42" spans="1:23" ht="15.75" thickBot="1" x14ac:dyDescent="0.3">
      <c r="A42" s="5" t="s">
        <v>87</v>
      </c>
      <c r="B42" s="164"/>
      <c r="C42" s="20" t="s">
        <v>60</v>
      </c>
      <c r="D42" s="16" t="s">
        <v>61</v>
      </c>
      <c r="E42" s="12" t="s">
        <v>13</v>
      </c>
      <c r="F42" s="78">
        <v>200</v>
      </c>
      <c r="G42" s="38">
        <v>3</v>
      </c>
      <c r="H42" s="152"/>
      <c r="I42" s="212"/>
      <c r="J42" s="200"/>
      <c r="K42" s="206"/>
      <c r="L42" s="233"/>
      <c r="M42" s="221"/>
      <c r="N42" s="224"/>
      <c r="O42" s="266"/>
      <c r="P42" s="269"/>
      <c r="Q42" s="269"/>
      <c r="R42" s="250"/>
      <c r="S42" s="294"/>
      <c r="T42" s="300"/>
      <c r="U42" s="320"/>
      <c r="V42" s="246"/>
      <c r="W42" s="240"/>
    </row>
    <row r="43" spans="1:23" ht="45.75" thickBot="1" x14ac:dyDescent="0.3">
      <c r="A43" s="5" t="s">
        <v>88</v>
      </c>
      <c r="B43" s="162" t="s">
        <v>62</v>
      </c>
      <c r="C43" s="9" t="s">
        <v>37</v>
      </c>
      <c r="D43" s="15" t="s">
        <v>38</v>
      </c>
      <c r="E43" s="10" t="s">
        <v>12</v>
      </c>
      <c r="F43" s="76">
        <v>3</v>
      </c>
      <c r="G43" s="36">
        <v>1</v>
      </c>
      <c r="H43" s="150">
        <f>G43+G44+G45+G46+G47+G48+G49+G50+G51</f>
        <v>8.5</v>
      </c>
      <c r="I43" s="172">
        <v>85</v>
      </c>
      <c r="J43" s="183" t="s">
        <v>135</v>
      </c>
      <c r="K43" s="184" t="s">
        <v>134</v>
      </c>
      <c r="L43" s="216">
        <f>ROUND(H43/(I43/1000),0)</f>
        <v>100</v>
      </c>
      <c r="M43" s="225">
        <v>3</v>
      </c>
      <c r="N43" s="228">
        <f>ROUND(L43/M43,1)</f>
        <v>33.299999999999997</v>
      </c>
      <c r="O43" s="264"/>
      <c r="P43" s="267"/>
      <c r="Q43" s="249">
        <v>140</v>
      </c>
      <c r="R43" s="267"/>
      <c r="S43" s="292"/>
      <c r="T43" s="289">
        <f>O43+P43+Q43+R43+S43</f>
        <v>140</v>
      </c>
      <c r="U43" s="318"/>
      <c r="V43" s="235" t="str">
        <f>IF(T43&gt;=N43,"ok","défice de espaço")</f>
        <v>ok</v>
      </c>
      <c r="W43" s="238" t="s">
        <v>102</v>
      </c>
    </row>
    <row r="44" spans="1:23" ht="57" thickBot="1" x14ac:dyDescent="0.3">
      <c r="A44" s="5" t="s">
        <v>88</v>
      </c>
      <c r="B44" s="163"/>
      <c r="C44" s="69" t="s">
        <v>39</v>
      </c>
      <c r="D44" s="13" t="s">
        <v>40</v>
      </c>
      <c r="E44" s="11" t="s">
        <v>12</v>
      </c>
      <c r="F44" s="77">
        <v>3</v>
      </c>
      <c r="G44" s="37">
        <v>1.5</v>
      </c>
      <c r="H44" s="151"/>
      <c r="I44" s="182"/>
      <c r="J44" s="183"/>
      <c r="K44" s="184"/>
      <c r="L44" s="217"/>
      <c r="M44" s="226"/>
      <c r="N44" s="229"/>
      <c r="O44" s="265"/>
      <c r="P44" s="268"/>
      <c r="Q44" s="251"/>
      <c r="R44" s="268"/>
      <c r="S44" s="293"/>
      <c r="T44" s="290"/>
      <c r="U44" s="319"/>
      <c r="V44" s="236"/>
      <c r="W44" s="239"/>
    </row>
    <row r="45" spans="1:23" ht="34.5" thickBot="1" x14ac:dyDescent="0.3">
      <c r="A45" s="5" t="s">
        <v>88</v>
      </c>
      <c r="B45" s="163"/>
      <c r="C45" s="69" t="s">
        <v>41</v>
      </c>
      <c r="D45" s="13" t="s">
        <v>42</v>
      </c>
      <c r="E45" s="11" t="s">
        <v>12</v>
      </c>
      <c r="F45" s="77">
        <v>3</v>
      </c>
      <c r="G45" s="37">
        <v>0.5</v>
      </c>
      <c r="H45" s="151"/>
      <c r="I45" s="182"/>
      <c r="J45" s="183"/>
      <c r="K45" s="184"/>
      <c r="L45" s="217"/>
      <c r="M45" s="226"/>
      <c r="N45" s="229"/>
      <c r="O45" s="265"/>
      <c r="P45" s="268"/>
      <c r="Q45" s="251"/>
      <c r="R45" s="268"/>
      <c r="S45" s="293"/>
      <c r="T45" s="290"/>
      <c r="U45" s="319"/>
      <c r="V45" s="236"/>
      <c r="W45" s="239"/>
    </row>
    <row r="46" spans="1:23" ht="34.5" thickBot="1" x14ac:dyDescent="0.3">
      <c r="A46" s="5" t="s">
        <v>88</v>
      </c>
      <c r="B46" s="163"/>
      <c r="C46" s="69" t="s">
        <v>50</v>
      </c>
      <c r="D46" s="13" t="s">
        <v>51</v>
      </c>
      <c r="E46" s="11" t="s">
        <v>13</v>
      </c>
      <c r="F46" s="77">
        <v>3</v>
      </c>
      <c r="G46" s="37">
        <v>0.5</v>
      </c>
      <c r="H46" s="151"/>
      <c r="I46" s="182"/>
      <c r="J46" s="183"/>
      <c r="K46" s="184"/>
      <c r="L46" s="217"/>
      <c r="M46" s="226"/>
      <c r="N46" s="229"/>
      <c r="O46" s="265"/>
      <c r="P46" s="268"/>
      <c r="Q46" s="251"/>
      <c r="R46" s="268"/>
      <c r="S46" s="293"/>
      <c r="T46" s="290"/>
      <c r="U46" s="319"/>
      <c r="V46" s="236"/>
      <c r="W46" s="239"/>
    </row>
    <row r="47" spans="1:23" ht="34.5" thickBot="1" x14ac:dyDescent="0.3">
      <c r="A47" s="5" t="s">
        <v>88</v>
      </c>
      <c r="B47" s="163"/>
      <c r="C47" s="69" t="s">
        <v>52</v>
      </c>
      <c r="D47" s="13" t="s">
        <v>53</v>
      </c>
      <c r="E47" s="11" t="s">
        <v>12</v>
      </c>
      <c r="F47" s="77">
        <v>30</v>
      </c>
      <c r="G47" s="37">
        <v>1.5</v>
      </c>
      <c r="H47" s="151"/>
      <c r="I47" s="182"/>
      <c r="J47" s="183"/>
      <c r="K47" s="184"/>
      <c r="L47" s="217"/>
      <c r="M47" s="226"/>
      <c r="N47" s="229"/>
      <c r="O47" s="265"/>
      <c r="P47" s="268"/>
      <c r="Q47" s="251"/>
      <c r="R47" s="268"/>
      <c r="S47" s="293"/>
      <c r="T47" s="290"/>
      <c r="U47" s="319"/>
      <c r="V47" s="236"/>
      <c r="W47" s="239"/>
    </row>
    <row r="48" spans="1:23" ht="57" thickBot="1" x14ac:dyDescent="0.3">
      <c r="A48" s="5" t="s">
        <v>88</v>
      </c>
      <c r="B48" s="163"/>
      <c r="C48" s="69" t="s">
        <v>54</v>
      </c>
      <c r="D48" s="13" t="s">
        <v>55</v>
      </c>
      <c r="E48" s="11" t="s">
        <v>12</v>
      </c>
      <c r="F48" s="77">
        <v>30</v>
      </c>
      <c r="G48" s="37">
        <v>1.5</v>
      </c>
      <c r="H48" s="151"/>
      <c r="I48" s="182"/>
      <c r="J48" s="183"/>
      <c r="K48" s="184"/>
      <c r="L48" s="217"/>
      <c r="M48" s="226"/>
      <c r="N48" s="229"/>
      <c r="O48" s="265"/>
      <c r="P48" s="268"/>
      <c r="Q48" s="251"/>
      <c r="R48" s="268"/>
      <c r="S48" s="293"/>
      <c r="T48" s="290"/>
      <c r="U48" s="319"/>
      <c r="V48" s="236"/>
      <c r="W48" s="239"/>
    </row>
    <row r="49" spans="1:23" ht="45.75" thickBot="1" x14ac:dyDescent="0.3">
      <c r="A49" s="5" t="s">
        <v>88</v>
      </c>
      <c r="B49" s="163"/>
      <c r="C49" s="69" t="s">
        <v>56</v>
      </c>
      <c r="D49" s="13" t="s">
        <v>57</v>
      </c>
      <c r="E49" s="11" t="s">
        <v>12</v>
      </c>
      <c r="F49" s="77">
        <v>60</v>
      </c>
      <c r="G49" s="37">
        <v>0.5</v>
      </c>
      <c r="H49" s="151"/>
      <c r="I49" s="182"/>
      <c r="J49" s="183"/>
      <c r="K49" s="184"/>
      <c r="L49" s="217"/>
      <c r="M49" s="226"/>
      <c r="N49" s="229"/>
      <c r="O49" s="265"/>
      <c r="P49" s="268"/>
      <c r="Q49" s="251"/>
      <c r="R49" s="268"/>
      <c r="S49" s="293"/>
      <c r="T49" s="290"/>
      <c r="U49" s="319"/>
      <c r="V49" s="236"/>
      <c r="W49" s="239"/>
    </row>
    <row r="50" spans="1:23" ht="15.75" thickBot="1" x14ac:dyDescent="0.3">
      <c r="A50" s="5" t="s">
        <v>89</v>
      </c>
      <c r="B50" s="163"/>
      <c r="C50" s="69" t="s">
        <v>43</v>
      </c>
      <c r="D50" s="13" t="s">
        <v>44</v>
      </c>
      <c r="E50" s="11" t="s">
        <v>13</v>
      </c>
      <c r="F50" s="73">
        <v>1.5</v>
      </c>
      <c r="G50" s="37">
        <v>1</v>
      </c>
      <c r="H50" s="151"/>
      <c r="I50" s="182"/>
      <c r="J50" s="183"/>
      <c r="K50" s="184"/>
      <c r="L50" s="217"/>
      <c r="M50" s="226"/>
      <c r="N50" s="229"/>
      <c r="O50" s="265"/>
      <c r="P50" s="268"/>
      <c r="Q50" s="251"/>
      <c r="R50" s="268"/>
      <c r="S50" s="293"/>
      <c r="T50" s="290"/>
      <c r="U50" s="319"/>
      <c r="V50" s="236"/>
      <c r="W50" s="239"/>
    </row>
    <row r="51" spans="1:23" ht="23.25" thickBot="1" x14ac:dyDescent="0.3">
      <c r="A51" s="5" t="s">
        <v>89</v>
      </c>
      <c r="B51" s="164"/>
      <c r="C51" s="20" t="s">
        <v>45</v>
      </c>
      <c r="D51" s="16" t="s">
        <v>46</v>
      </c>
      <c r="E51" s="12" t="s">
        <v>13</v>
      </c>
      <c r="F51" s="74">
        <v>1.5</v>
      </c>
      <c r="G51" s="38">
        <v>0.5</v>
      </c>
      <c r="H51" s="152"/>
      <c r="I51" s="173"/>
      <c r="J51" s="183"/>
      <c r="K51" s="184"/>
      <c r="L51" s="218"/>
      <c r="M51" s="227"/>
      <c r="N51" s="230"/>
      <c r="O51" s="266"/>
      <c r="P51" s="269"/>
      <c r="Q51" s="250"/>
      <c r="R51" s="269"/>
      <c r="S51" s="294"/>
      <c r="T51" s="291"/>
      <c r="U51" s="320"/>
      <c r="V51" s="237"/>
      <c r="W51" s="240"/>
    </row>
    <row r="52" spans="1:23" ht="21.6" customHeight="1" thickBot="1" x14ac:dyDescent="0.3">
      <c r="B52" s="162" t="s">
        <v>72</v>
      </c>
      <c r="C52" s="187" t="s">
        <v>73</v>
      </c>
      <c r="D52" s="165" t="s">
        <v>74</v>
      </c>
      <c r="E52" s="10" t="s">
        <v>12</v>
      </c>
      <c r="F52" s="76">
        <v>200</v>
      </c>
      <c r="G52" s="36">
        <v>8</v>
      </c>
      <c r="H52" s="150">
        <f>G52+G53</f>
        <v>8.1999999999999993</v>
      </c>
      <c r="I52" s="172">
        <v>100</v>
      </c>
      <c r="J52" s="204" t="s">
        <v>136</v>
      </c>
      <c r="K52" s="184">
        <f>3000/30</f>
        <v>100</v>
      </c>
      <c r="L52" s="216">
        <f>ROUND(H52/(I52/1000),0)</f>
        <v>82</v>
      </c>
      <c r="M52" s="225">
        <v>2</v>
      </c>
      <c r="N52" s="228">
        <f>ROUND(L52/M52,1)</f>
        <v>41</v>
      </c>
      <c r="O52" s="264"/>
      <c r="P52" s="267"/>
      <c r="Q52" s="267"/>
      <c r="R52" s="249">
        <v>125</v>
      </c>
      <c r="S52" s="292"/>
      <c r="T52" s="289">
        <f>O52+P52+Q52+R52+S52</f>
        <v>125</v>
      </c>
      <c r="U52" s="318"/>
      <c r="V52" s="235" t="str">
        <f>IF(T52&gt;=N52,"ok","défice de espaço")</f>
        <v>ok</v>
      </c>
      <c r="W52" s="238" t="s">
        <v>125</v>
      </c>
    </row>
    <row r="53" spans="1:23" ht="15.75" thickBot="1" x14ac:dyDescent="0.3">
      <c r="B53" s="186"/>
      <c r="C53" s="188"/>
      <c r="D53" s="166"/>
      <c r="E53" s="126" t="s">
        <v>14</v>
      </c>
      <c r="F53" s="127">
        <v>2</v>
      </c>
      <c r="G53" s="128">
        <v>0.2</v>
      </c>
      <c r="H53" s="161"/>
      <c r="I53" s="174"/>
      <c r="J53" s="205"/>
      <c r="K53" s="215"/>
      <c r="L53" s="258"/>
      <c r="M53" s="259"/>
      <c r="N53" s="260"/>
      <c r="O53" s="327"/>
      <c r="P53" s="326"/>
      <c r="Q53" s="326"/>
      <c r="R53" s="332"/>
      <c r="S53" s="325"/>
      <c r="T53" s="331"/>
      <c r="U53" s="324"/>
      <c r="V53" s="247"/>
      <c r="W53" s="248"/>
    </row>
    <row r="54" spans="1:23" ht="15.75" thickTop="1" x14ac:dyDescent="0.25">
      <c r="G54" s="97"/>
      <c r="H54" s="3"/>
      <c r="T54" s="6"/>
      <c r="W54" s="4"/>
    </row>
  </sheetData>
  <mergeCells count="237">
    <mergeCell ref="U34:U35"/>
    <mergeCell ref="U32:U33"/>
    <mergeCell ref="U30:U31"/>
    <mergeCell ref="V1:V2"/>
    <mergeCell ref="W1:W2"/>
    <mergeCell ref="U43:U51"/>
    <mergeCell ref="S43:S51"/>
    <mergeCell ref="R43:R51"/>
    <mergeCell ref="P43:P51"/>
    <mergeCell ref="R32:R33"/>
    <mergeCell ref="S32:S33"/>
    <mergeCell ref="Q32:Q33"/>
    <mergeCell ref="P32:P33"/>
    <mergeCell ref="Q19:Q21"/>
    <mergeCell ref="U14:U21"/>
    <mergeCell ref="S22:S24"/>
    <mergeCell ref="R22:R24"/>
    <mergeCell ref="Q22:Q24"/>
    <mergeCell ref="U22:U24"/>
    <mergeCell ref="U6:U8"/>
    <mergeCell ref="Q9:Q13"/>
    <mergeCell ref="U9:U13"/>
    <mergeCell ref="S9:S13"/>
    <mergeCell ref="R9:R13"/>
    <mergeCell ref="U52:U53"/>
    <mergeCell ref="S52:S53"/>
    <mergeCell ref="Q52:Q53"/>
    <mergeCell ref="P52:P53"/>
    <mergeCell ref="O52:O53"/>
    <mergeCell ref="U36:U38"/>
    <mergeCell ref="S36:S38"/>
    <mergeCell ref="Q36:Q38"/>
    <mergeCell ref="P36:P38"/>
    <mergeCell ref="O36:O38"/>
    <mergeCell ref="S40:S42"/>
    <mergeCell ref="Q40:Q42"/>
    <mergeCell ref="P40:P42"/>
    <mergeCell ref="O40:O42"/>
    <mergeCell ref="U40:U42"/>
    <mergeCell ref="T40:T42"/>
    <mergeCell ref="T43:T51"/>
    <mergeCell ref="T52:T53"/>
    <mergeCell ref="T36:T38"/>
    <mergeCell ref="R36:R38"/>
    <mergeCell ref="R52:R53"/>
    <mergeCell ref="Q43:Q51"/>
    <mergeCell ref="R40:R42"/>
    <mergeCell ref="U25:U29"/>
    <mergeCell ref="R25:R29"/>
    <mergeCell ref="Q25:Q29"/>
    <mergeCell ref="P25:P29"/>
    <mergeCell ref="O25:O29"/>
    <mergeCell ref="R30:R31"/>
    <mergeCell ref="S30:S31"/>
    <mergeCell ref="Q30:Q31"/>
    <mergeCell ref="P30:P31"/>
    <mergeCell ref="O30:O31"/>
    <mergeCell ref="T9:T13"/>
    <mergeCell ref="C6:C8"/>
    <mergeCell ref="C9:C13"/>
    <mergeCell ref="C14:C18"/>
    <mergeCell ref="O32:O33"/>
    <mergeCell ref="S34:S35"/>
    <mergeCell ref="Q34:Q35"/>
    <mergeCell ref="P34:P35"/>
    <mergeCell ref="O34:O35"/>
    <mergeCell ref="T34:T35"/>
    <mergeCell ref="S19:S21"/>
    <mergeCell ref="S14:S18"/>
    <mergeCell ref="T14:T21"/>
    <mergeCell ref="L14:L21"/>
    <mergeCell ref="M14:M21"/>
    <mergeCell ref="R19:R21"/>
    <mergeCell ref="T22:T24"/>
    <mergeCell ref="T25:T29"/>
    <mergeCell ref="T30:T31"/>
    <mergeCell ref="T32:T33"/>
    <mergeCell ref="S25:S29"/>
    <mergeCell ref="P22:P24"/>
    <mergeCell ref="O19:O21"/>
    <mergeCell ref="O22:O24"/>
    <mergeCell ref="B1:B2"/>
    <mergeCell ref="C1:C2"/>
    <mergeCell ref="D1:D2"/>
    <mergeCell ref="E1:E2"/>
    <mergeCell ref="O6:O8"/>
    <mergeCell ref="Q6:Q8"/>
    <mergeCell ref="J1:K1"/>
    <mergeCell ref="O1:T1"/>
    <mergeCell ref="T6:T8"/>
    <mergeCell ref="S6:S8"/>
    <mergeCell ref="M6:M8"/>
    <mergeCell ref="N6:N8"/>
    <mergeCell ref="I6:I8"/>
    <mergeCell ref="J6:J8"/>
    <mergeCell ref="D5:E5"/>
    <mergeCell ref="H6:H8"/>
    <mergeCell ref="D7:D8"/>
    <mergeCell ref="R34:R35"/>
    <mergeCell ref="P6:P8"/>
    <mergeCell ref="P9:P13"/>
    <mergeCell ref="O9:O13"/>
    <mergeCell ref="L52:L53"/>
    <mergeCell ref="M52:M53"/>
    <mergeCell ref="N52:N53"/>
    <mergeCell ref="L40:L42"/>
    <mergeCell ref="R14:R18"/>
    <mergeCell ref="Q14:Q18"/>
    <mergeCell ref="O43:O51"/>
    <mergeCell ref="R6:R8"/>
    <mergeCell ref="O14:O18"/>
    <mergeCell ref="N14:N21"/>
    <mergeCell ref="P14:P18"/>
    <mergeCell ref="P19:P21"/>
    <mergeCell ref="L30:L31"/>
    <mergeCell ref="M30:M31"/>
    <mergeCell ref="N30:N31"/>
    <mergeCell ref="L32:L33"/>
    <mergeCell ref="M32:M33"/>
    <mergeCell ref="N32:N33"/>
    <mergeCell ref="M22:M24"/>
    <mergeCell ref="N22:N24"/>
    <mergeCell ref="V40:V42"/>
    <mergeCell ref="W40:W42"/>
    <mergeCell ref="V43:V51"/>
    <mergeCell ref="W43:W51"/>
    <mergeCell ref="V52:V53"/>
    <mergeCell ref="W52:W53"/>
    <mergeCell ref="V32:V33"/>
    <mergeCell ref="W32:W33"/>
    <mergeCell ref="V34:V35"/>
    <mergeCell ref="W34:W35"/>
    <mergeCell ref="V36:V38"/>
    <mergeCell ref="W36:W38"/>
    <mergeCell ref="V22:V24"/>
    <mergeCell ref="W22:W24"/>
    <mergeCell ref="V25:V29"/>
    <mergeCell ref="W25:W29"/>
    <mergeCell ref="V30:V31"/>
    <mergeCell ref="W30:W31"/>
    <mergeCell ref="W6:W8"/>
    <mergeCell ref="W9:W13"/>
    <mergeCell ref="V6:V8"/>
    <mergeCell ref="V9:V13"/>
    <mergeCell ref="V14:V21"/>
    <mergeCell ref="W14:W21"/>
    <mergeCell ref="L6:L8"/>
    <mergeCell ref="L22:L24"/>
    <mergeCell ref="L34:L35"/>
    <mergeCell ref="K6:K8"/>
    <mergeCell ref="M40:M42"/>
    <mergeCell ref="N40:N42"/>
    <mergeCell ref="L43:L51"/>
    <mergeCell ref="M43:M51"/>
    <mergeCell ref="N43:N51"/>
    <mergeCell ref="M34:M35"/>
    <mergeCell ref="N34:N35"/>
    <mergeCell ref="L36:L38"/>
    <mergeCell ref="M36:M38"/>
    <mergeCell ref="N36:N38"/>
    <mergeCell ref="K9:K13"/>
    <mergeCell ref="K14:K18"/>
    <mergeCell ref="L25:L29"/>
    <mergeCell ref="M25:M29"/>
    <mergeCell ref="N25:N29"/>
    <mergeCell ref="L9:L13"/>
    <mergeCell ref="M9:M13"/>
    <mergeCell ref="N9:N13"/>
    <mergeCell ref="K34:K35"/>
    <mergeCell ref="K36:K38"/>
    <mergeCell ref="K19:K21"/>
    <mergeCell ref="I22:I24"/>
    <mergeCell ref="J22:J24"/>
    <mergeCell ref="K22:K24"/>
    <mergeCell ref="I43:I51"/>
    <mergeCell ref="J43:J51"/>
    <mergeCell ref="K43:K51"/>
    <mergeCell ref="J52:J53"/>
    <mergeCell ref="K40:K42"/>
    <mergeCell ref="I34:I35"/>
    <mergeCell ref="J34:J35"/>
    <mergeCell ref="I36:I38"/>
    <mergeCell ref="J36:J38"/>
    <mergeCell ref="I40:I42"/>
    <mergeCell ref="J40:J42"/>
    <mergeCell ref="J39:K39"/>
    <mergeCell ref="K52:K53"/>
    <mergeCell ref="K30:K31"/>
    <mergeCell ref="K32:K33"/>
    <mergeCell ref="J25:J29"/>
    <mergeCell ref="K25:K29"/>
    <mergeCell ref="J19:J21"/>
    <mergeCell ref="B52:B53"/>
    <mergeCell ref="C52:C53"/>
    <mergeCell ref="H22:H24"/>
    <mergeCell ref="D17:D18"/>
    <mergeCell ref="D20:D21"/>
    <mergeCell ref="D12:D13"/>
    <mergeCell ref="D15:D16"/>
    <mergeCell ref="C19:C21"/>
    <mergeCell ref="C30:C31"/>
    <mergeCell ref="D30:D31"/>
    <mergeCell ref="C32:C33"/>
    <mergeCell ref="D32:D33"/>
    <mergeCell ref="C22:C24"/>
    <mergeCell ref="D23:D24"/>
    <mergeCell ref="H25:H29"/>
    <mergeCell ref="H34:H35"/>
    <mergeCell ref="H36:H38"/>
    <mergeCell ref="H40:H42"/>
    <mergeCell ref="J30:J31"/>
    <mergeCell ref="I32:I33"/>
    <mergeCell ref="J32:J33"/>
    <mergeCell ref="H43:H51"/>
    <mergeCell ref="I9:I13"/>
    <mergeCell ref="J9:J13"/>
    <mergeCell ref="I14:I18"/>
    <mergeCell ref="J14:J18"/>
    <mergeCell ref="H52:H53"/>
    <mergeCell ref="H30:H31"/>
    <mergeCell ref="H32:H33"/>
    <mergeCell ref="B43:B51"/>
    <mergeCell ref="D52:D53"/>
    <mergeCell ref="H19:H21"/>
    <mergeCell ref="D10:D11"/>
    <mergeCell ref="I19:I21"/>
    <mergeCell ref="I30:I31"/>
    <mergeCell ref="I52:I53"/>
    <mergeCell ref="B40:B42"/>
    <mergeCell ref="B25:B29"/>
    <mergeCell ref="B30:B31"/>
    <mergeCell ref="B32:B33"/>
    <mergeCell ref="B34:B35"/>
    <mergeCell ref="C36:C38"/>
    <mergeCell ref="H9:H13"/>
    <mergeCell ref="H14:H18"/>
    <mergeCell ref="I25:I29"/>
  </mergeCells>
  <phoneticPr fontId="8" type="noConversion"/>
  <pageMargins left="0.70866141732283472" right="0.70866141732283472" top="0.19685039370078741" bottom="0.19685039370078741" header="0.31496062992125984" footer="0.31496062992125984"/>
  <pageSetup paperSize="8" scale="6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06CF-CFCC-479D-B746-76622FED2E00}">
  <dimension ref="A1:W19"/>
  <sheetViews>
    <sheetView tabSelected="1" workbookViewId="0">
      <selection activeCell="F4" sqref="F4"/>
    </sheetView>
  </sheetViews>
  <sheetFormatPr defaultRowHeight="15" x14ac:dyDescent="0.25"/>
  <cols>
    <col min="1" max="1" width="9.28515625" customWidth="1"/>
    <col min="2" max="2" width="15.42578125" customWidth="1"/>
    <col min="3" max="3" width="19.7109375" customWidth="1"/>
    <col min="4" max="4" width="14.7109375" customWidth="1"/>
    <col min="5" max="5" width="8.85546875" customWidth="1"/>
    <col min="6" max="6" width="13.5703125" customWidth="1"/>
    <col min="7" max="7" width="22.42578125" style="6" customWidth="1"/>
    <col min="8" max="8" width="14.5703125" customWidth="1"/>
    <col min="9" max="9" width="9.28515625" customWidth="1"/>
    <col min="10" max="10" width="16.7109375" customWidth="1"/>
    <col min="11" max="11" width="10.85546875" customWidth="1"/>
    <col min="12" max="12" width="9.85546875" style="2" customWidth="1"/>
    <col min="13" max="13" width="7.28515625" style="2" customWidth="1"/>
    <col min="14" max="14" width="12" style="2" bestFit="1" customWidth="1"/>
    <col min="19" max="19" width="10.7109375" customWidth="1"/>
    <col min="20" max="20" width="10.28515625" customWidth="1"/>
    <col min="21" max="21" width="13.42578125" customWidth="1"/>
    <col min="22" max="22" width="12.28515625" bestFit="1" customWidth="1"/>
    <col min="23" max="23" width="16.42578125" bestFit="1" customWidth="1"/>
  </cols>
  <sheetData>
    <row r="1" spans="1:23" ht="46.5" thickTop="1" thickBot="1" x14ac:dyDescent="0.3">
      <c r="B1" s="276" t="s">
        <v>108</v>
      </c>
      <c r="C1" s="278" t="s">
        <v>109</v>
      </c>
      <c r="D1" s="280" t="s">
        <v>0</v>
      </c>
      <c r="E1" s="282" t="s">
        <v>1</v>
      </c>
      <c r="F1" s="98" t="s">
        <v>121</v>
      </c>
      <c r="G1" s="99" t="s">
        <v>122</v>
      </c>
      <c r="H1" s="100" t="s">
        <v>113</v>
      </c>
      <c r="I1" s="101" t="s">
        <v>149</v>
      </c>
      <c r="J1" s="284" t="s">
        <v>150</v>
      </c>
      <c r="K1" s="285"/>
      <c r="L1" s="102" t="s">
        <v>116</v>
      </c>
      <c r="M1" s="103" t="s">
        <v>117</v>
      </c>
      <c r="N1" s="104" t="s">
        <v>119</v>
      </c>
      <c r="O1" s="286" t="s">
        <v>123</v>
      </c>
      <c r="P1" s="287"/>
      <c r="Q1" s="287"/>
      <c r="R1" s="287"/>
      <c r="S1" s="287"/>
      <c r="T1" s="288"/>
      <c r="U1" s="105" t="s">
        <v>110</v>
      </c>
      <c r="V1" s="333" t="s">
        <v>100</v>
      </c>
      <c r="W1" s="335" t="s">
        <v>124</v>
      </c>
    </row>
    <row r="2" spans="1:23" ht="15.75" thickBot="1" x14ac:dyDescent="0.3">
      <c r="B2" s="277"/>
      <c r="C2" s="279"/>
      <c r="D2" s="281"/>
      <c r="E2" s="283"/>
      <c r="F2" s="50" t="s">
        <v>114</v>
      </c>
      <c r="G2" s="51" t="s">
        <v>112</v>
      </c>
      <c r="H2" s="52" t="s">
        <v>112</v>
      </c>
      <c r="I2" s="53" t="s">
        <v>111</v>
      </c>
      <c r="J2" s="54" t="s">
        <v>94</v>
      </c>
      <c r="K2" s="55" t="s">
        <v>93</v>
      </c>
      <c r="L2" s="82" t="s">
        <v>115</v>
      </c>
      <c r="M2" s="56" t="s">
        <v>118</v>
      </c>
      <c r="N2" s="85" t="s">
        <v>120</v>
      </c>
      <c r="O2" s="57" t="s">
        <v>95</v>
      </c>
      <c r="P2" s="58" t="s">
        <v>96</v>
      </c>
      <c r="Q2" s="58" t="s">
        <v>97</v>
      </c>
      <c r="R2" s="58" t="s">
        <v>98</v>
      </c>
      <c r="S2" s="59" t="s">
        <v>99</v>
      </c>
      <c r="T2" s="93" t="s">
        <v>15</v>
      </c>
      <c r="U2" s="89" t="s">
        <v>15</v>
      </c>
      <c r="V2" s="334"/>
      <c r="W2" s="336"/>
    </row>
    <row r="3" spans="1:23" ht="14.45" customHeight="1" thickTop="1" thickBot="1" x14ac:dyDescent="0.3">
      <c r="A3" t="s">
        <v>82</v>
      </c>
      <c r="B3" s="162" t="s">
        <v>105</v>
      </c>
      <c r="C3" s="131" t="s">
        <v>17</v>
      </c>
      <c r="D3" s="133" t="s">
        <v>18</v>
      </c>
      <c r="E3" s="10" t="s">
        <v>13</v>
      </c>
      <c r="F3" s="76">
        <v>5</v>
      </c>
      <c r="G3" s="36">
        <v>0.5</v>
      </c>
      <c r="H3" s="150">
        <f>G3+G4+G5+G6+G7</f>
        <v>2.5</v>
      </c>
      <c r="I3" s="172">
        <v>900</v>
      </c>
      <c r="J3" s="183" t="s">
        <v>91</v>
      </c>
      <c r="K3" s="184"/>
      <c r="L3" s="216">
        <f>ROUND(H3/(I3/1000),1)</f>
        <v>2.8</v>
      </c>
      <c r="M3" s="226">
        <v>2</v>
      </c>
      <c r="N3" s="228">
        <f>ROUND(L3/M3,1)</f>
        <v>1.4</v>
      </c>
      <c r="O3" s="270"/>
      <c r="P3" s="261"/>
      <c r="Q3" s="261"/>
      <c r="R3" s="261"/>
      <c r="S3" s="312">
        <f>1+1</f>
        <v>2</v>
      </c>
      <c r="T3" s="289">
        <f>O3+P3+Q3+R3+S3</f>
        <v>2</v>
      </c>
      <c r="U3" s="318"/>
      <c r="V3" s="235" t="str">
        <f>IF(T3&gt;=N3,"ok","défice de espaço")</f>
        <v>ok</v>
      </c>
      <c r="W3" s="238" t="s">
        <v>151</v>
      </c>
    </row>
    <row r="4" spans="1:23" ht="23.25" thickBot="1" x14ac:dyDescent="0.3">
      <c r="A4" t="s">
        <v>82</v>
      </c>
      <c r="B4" s="163"/>
      <c r="C4" s="134" t="s">
        <v>19</v>
      </c>
      <c r="D4" s="135" t="s">
        <v>20</v>
      </c>
      <c r="E4" s="136" t="s">
        <v>13</v>
      </c>
      <c r="F4" s="137">
        <v>5</v>
      </c>
      <c r="G4" s="138">
        <v>0.5</v>
      </c>
      <c r="H4" s="151"/>
      <c r="I4" s="182"/>
      <c r="J4" s="183"/>
      <c r="K4" s="184"/>
      <c r="L4" s="217"/>
      <c r="M4" s="226"/>
      <c r="N4" s="229"/>
      <c r="O4" s="271"/>
      <c r="P4" s="262"/>
      <c r="Q4" s="262"/>
      <c r="R4" s="262"/>
      <c r="S4" s="313"/>
      <c r="T4" s="290"/>
      <c r="U4" s="319"/>
      <c r="V4" s="236"/>
      <c r="W4" s="239"/>
    </row>
    <row r="5" spans="1:23" ht="27" customHeight="1" thickBot="1" x14ac:dyDescent="0.3">
      <c r="A5" t="s">
        <v>82</v>
      </c>
      <c r="B5" s="163"/>
      <c r="C5" s="134" t="s">
        <v>21</v>
      </c>
      <c r="D5" s="135" t="s">
        <v>22</v>
      </c>
      <c r="E5" s="136" t="s">
        <v>13</v>
      </c>
      <c r="F5" s="137">
        <v>5</v>
      </c>
      <c r="G5" s="138">
        <v>0.5</v>
      </c>
      <c r="H5" s="151"/>
      <c r="I5" s="182"/>
      <c r="J5" s="183"/>
      <c r="K5" s="184"/>
      <c r="L5" s="217"/>
      <c r="M5" s="226"/>
      <c r="N5" s="229"/>
      <c r="O5" s="271"/>
      <c r="P5" s="262"/>
      <c r="Q5" s="262"/>
      <c r="R5" s="262"/>
      <c r="S5" s="313"/>
      <c r="T5" s="290"/>
      <c r="U5" s="319"/>
      <c r="V5" s="236"/>
      <c r="W5" s="239"/>
    </row>
    <row r="6" spans="1:23" ht="35.450000000000003" customHeight="1" thickBot="1" x14ac:dyDescent="0.3">
      <c r="A6" t="s">
        <v>82</v>
      </c>
      <c r="B6" s="163"/>
      <c r="C6" s="134" t="s">
        <v>23</v>
      </c>
      <c r="D6" s="135" t="s">
        <v>24</v>
      </c>
      <c r="E6" s="136" t="s">
        <v>13</v>
      </c>
      <c r="F6" s="137">
        <v>5</v>
      </c>
      <c r="G6" s="138">
        <v>0.5</v>
      </c>
      <c r="H6" s="151"/>
      <c r="I6" s="182"/>
      <c r="J6" s="183"/>
      <c r="K6" s="184"/>
      <c r="L6" s="217"/>
      <c r="M6" s="226"/>
      <c r="N6" s="229"/>
      <c r="O6" s="271"/>
      <c r="P6" s="262"/>
      <c r="Q6" s="262"/>
      <c r="R6" s="262"/>
      <c r="S6" s="313"/>
      <c r="T6" s="290"/>
      <c r="U6" s="319"/>
      <c r="V6" s="236"/>
      <c r="W6" s="239"/>
    </row>
    <row r="7" spans="1:23" ht="27.6" customHeight="1" thickBot="1" x14ac:dyDescent="0.3">
      <c r="A7" t="s">
        <v>82</v>
      </c>
      <c r="B7" s="164"/>
      <c r="C7" s="139" t="s">
        <v>25</v>
      </c>
      <c r="D7" s="140" t="s">
        <v>26</v>
      </c>
      <c r="E7" s="141" t="s">
        <v>13</v>
      </c>
      <c r="F7" s="142">
        <v>5</v>
      </c>
      <c r="G7" s="143">
        <v>0.5</v>
      </c>
      <c r="H7" s="152"/>
      <c r="I7" s="173"/>
      <c r="J7" s="183"/>
      <c r="K7" s="184"/>
      <c r="L7" s="218"/>
      <c r="M7" s="227"/>
      <c r="N7" s="230"/>
      <c r="O7" s="321"/>
      <c r="P7" s="311"/>
      <c r="Q7" s="311"/>
      <c r="R7" s="311"/>
      <c r="S7" s="314"/>
      <c r="T7" s="291"/>
      <c r="U7" s="320"/>
      <c r="V7" s="237"/>
      <c r="W7" s="240"/>
    </row>
    <row r="8" spans="1:23" ht="45.75" thickBot="1" x14ac:dyDescent="0.3">
      <c r="A8" s="5" t="s">
        <v>88</v>
      </c>
      <c r="B8" s="162" t="s">
        <v>62</v>
      </c>
      <c r="C8" s="144" t="s">
        <v>37</v>
      </c>
      <c r="D8" s="145" t="s">
        <v>38</v>
      </c>
      <c r="E8" s="146" t="s">
        <v>12</v>
      </c>
      <c r="F8" s="147">
        <v>3</v>
      </c>
      <c r="G8" s="148">
        <v>1</v>
      </c>
      <c r="H8" s="150">
        <f>G8+G9+G10+G11+G12+G13+G14+G15+G16</f>
        <v>8.5</v>
      </c>
      <c r="I8" s="172">
        <v>85</v>
      </c>
      <c r="J8" s="183" t="s">
        <v>135</v>
      </c>
      <c r="K8" s="184" t="s">
        <v>134</v>
      </c>
      <c r="L8" s="216">
        <f>ROUND(H8/(I8/1000),0)</f>
        <v>100</v>
      </c>
      <c r="M8" s="225">
        <v>3</v>
      </c>
      <c r="N8" s="228">
        <f>ROUND(L8/M8,1)</f>
        <v>33.299999999999997</v>
      </c>
      <c r="O8" s="264"/>
      <c r="P8" s="267"/>
      <c r="Q8" s="249">
        <v>140</v>
      </c>
      <c r="R8" s="267"/>
      <c r="S8" s="292"/>
      <c r="T8" s="289">
        <f>O8+P8+Q8+R8+S8</f>
        <v>140</v>
      </c>
      <c r="U8" s="318"/>
      <c r="V8" s="235" t="str">
        <f>IF(T8&gt;=N8,"ok","défice de espaço")</f>
        <v>ok</v>
      </c>
      <c r="W8" s="238" t="s">
        <v>102</v>
      </c>
    </row>
    <row r="9" spans="1:23" ht="57" thickBot="1" x14ac:dyDescent="0.3">
      <c r="A9" s="5" t="s">
        <v>88</v>
      </c>
      <c r="B9" s="163"/>
      <c r="C9" s="134" t="s">
        <v>39</v>
      </c>
      <c r="D9" s="135" t="s">
        <v>40</v>
      </c>
      <c r="E9" s="136" t="s">
        <v>12</v>
      </c>
      <c r="F9" s="137">
        <v>3</v>
      </c>
      <c r="G9" s="138">
        <v>1.5</v>
      </c>
      <c r="H9" s="151"/>
      <c r="I9" s="182"/>
      <c r="J9" s="183"/>
      <c r="K9" s="184"/>
      <c r="L9" s="217"/>
      <c r="M9" s="226"/>
      <c r="N9" s="229"/>
      <c r="O9" s="265"/>
      <c r="P9" s="268"/>
      <c r="Q9" s="251"/>
      <c r="R9" s="268"/>
      <c r="S9" s="293"/>
      <c r="T9" s="290"/>
      <c r="U9" s="319"/>
      <c r="V9" s="236"/>
      <c r="W9" s="239"/>
    </row>
    <row r="10" spans="1:23" ht="34.5" thickBot="1" x14ac:dyDescent="0.3">
      <c r="A10" s="5" t="s">
        <v>88</v>
      </c>
      <c r="B10" s="163"/>
      <c r="C10" s="134" t="s">
        <v>41</v>
      </c>
      <c r="D10" s="135" t="s">
        <v>42</v>
      </c>
      <c r="E10" s="136" t="s">
        <v>12</v>
      </c>
      <c r="F10" s="137">
        <v>3</v>
      </c>
      <c r="G10" s="138">
        <v>0.5</v>
      </c>
      <c r="H10" s="151"/>
      <c r="I10" s="182"/>
      <c r="J10" s="183"/>
      <c r="K10" s="184"/>
      <c r="L10" s="217"/>
      <c r="M10" s="226"/>
      <c r="N10" s="229"/>
      <c r="O10" s="265"/>
      <c r="P10" s="268"/>
      <c r="Q10" s="251"/>
      <c r="R10" s="268"/>
      <c r="S10" s="293"/>
      <c r="T10" s="290"/>
      <c r="U10" s="319"/>
      <c r="V10" s="236"/>
      <c r="W10" s="239"/>
    </row>
    <row r="11" spans="1:23" ht="34.5" thickBot="1" x14ac:dyDescent="0.3">
      <c r="A11" s="5" t="s">
        <v>88</v>
      </c>
      <c r="B11" s="163"/>
      <c r="C11" s="134" t="s">
        <v>50</v>
      </c>
      <c r="D11" s="135" t="s">
        <v>51</v>
      </c>
      <c r="E11" s="136" t="s">
        <v>13</v>
      </c>
      <c r="F11" s="137">
        <v>3</v>
      </c>
      <c r="G11" s="138">
        <v>0.5</v>
      </c>
      <c r="H11" s="151"/>
      <c r="I11" s="182"/>
      <c r="J11" s="183"/>
      <c r="K11" s="184"/>
      <c r="L11" s="217"/>
      <c r="M11" s="226"/>
      <c r="N11" s="229"/>
      <c r="O11" s="265"/>
      <c r="P11" s="268"/>
      <c r="Q11" s="251"/>
      <c r="R11" s="268"/>
      <c r="S11" s="293"/>
      <c r="T11" s="290"/>
      <c r="U11" s="319"/>
      <c r="V11" s="236"/>
      <c r="W11" s="239"/>
    </row>
    <row r="12" spans="1:23" ht="34.5" thickBot="1" x14ac:dyDescent="0.3">
      <c r="A12" s="5" t="s">
        <v>88</v>
      </c>
      <c r="B12" s="163"/>
      <c r="C12" s="134" t="s">
        <v>52</v>
      </c>
      <c r="D12" s="135" t="s">
        <v>53</v>
      </c>
      <c r="E12" s="136" t="s">
        <v>12</v>
      </c>
      <c r="F12" s="137">
        <v>30</v>
      </c>
      <c r="G12" s="138">
        <v>1.5</v>
      </c>
      <c r="H12" s="151"/>
      <c r="I12" s="182"/>
      <c r="J12" s="183"/>
      <c r="K12" s="184"/>
      <c r="L12" s="217"/>
      <c r="M12" s="226"/>
      <c r="N12" s="229"/>
      <c r="O12" s="265"/>
      <c r="P12" s="268"/>
      <c r="Q12" s="251"/>
      <c r="R12" s="268"/>
      <c r="S12" s="293"/>
      <c r="T12" s="290"/>
      <c r="U12" s="319"/>
      <c r="V12" s="236"/>
      <c r="W12" s="239"/>
    </row>
    <row r="13" spans="1:23" ht="57" thickBot="1" x14ac:dyDescent="0.3">
      <c r="A13" s="5" t="s">
        <v>88</v>
      </c>
      <c r="B13" s="163"/>
      <c r="C13" s="134" t="s">
        <v>54</v>
      </c>
      <c r="D13" s="135" t="s">
        <v>55</v>
      </c>
      <c r="E13" s="136" t="s">
        <v>12</v>
      </c>
      <c r="F13" s="137">
        <v>30</v>
      </c>
      <c r="G13" s="138">
        <v>1.5</v>
      </c>
      <c r="H13" s="151"/>
      <c r="I13" s="182"/>
      <c r="J13" s="183"/>
      <c r="K13" s="184"/>
      <c r="L13" s="217"/>
      <c r="M13" s="226"/>
      <c r="N13" s="229"/>
      <c r="O13" s="265"/>
      <c r="P13" s="268"/>
      <c r="Q13" s="251"/>
      <c r="R13" s="268"/>
      <c r="S13" s="293"/>
      <c r="T13" s="290"/>
      <c r="U13" s="319"/>
      <c r="V13" s="236"/>
      <c r="W13" s="239"/>
    </row>
    <row r="14" spans="1:23" ht="45.75" thickBot="1" x14ac:dyDescent="0.3">
      <c r="A14" s="5" t="s">
        <v>88</v>
      </c>
      <c r="B14" s="163"/>
      <c r="C14" s="134" t="s">
        <v>56</v>
      </c>
      <c r="D14" s="135" t="s">
        <v>57</v>
      </c>
      <c r="E14" s="136" t="s">
        <v>12</v>
      </c>
      <c r="F14" s="137">
        <v>60</v>
      </c>
      <c r="G14" s="138">
        <v>0.5</v>
      </c>
      <c r="H14" s="151"/>
      <c r="I14" s="182"/>
      <c r="J14" s="183"/>
      <c r="K14" s="184"/>
      <c r="L14" s="217"/>
      <c r="M14" s="226"/>
      <c r="N14" s="229"/>
      <c r="O14" s="265"/>
      <c r="P14" s="268"/>
      <c r="Q14" s="251"/>
      <c r="R14" s="268"/>
      <c r="S14" s="293"/>
      <c r="T14" s="290"/>
      <c r="U14" s="319"/>
      <c r="V14" s="236"/>
      <c r="W14" s="239"/>
    </row>
    <row r="15" spans="1:23" ht="15.75" thickBot="1" x14ac:dyDescent="0.3">
      <c r="A15" s="5" t="s">
        <v>89</v>
      </c>
      <c r="B15" s="163"/>
      <c r="C15" s="134" t="s">
        <v>43</v>
      </c>
      <c r="D15" s="135" t="s">
        <v>44</v>
      </c>
      <c r="E15" s="136" t="s">
        <v>13</v>
      </c>
      <c r="F15" s="149">
        <v>1.5</v>
      </c>
      <c r="G15" s="138">
        <v>1</v>
      </c>
      <c r="H15" s="151"/>
      <c r="I15" s="182"/>
      <c r="J15" s="183"/>
      <c r="K15" s="184"/>
      <c r="L15" s="217"/>
      <c r="M15" s="226"/>
      <c r="N15" s="229"/>
      <c r="O15" s="265"/>
      <c r="P15" s="268"/>
      <c r="Q15" s="251"/>
      <c r="R15" s="268"/>
      <c r="S15" s="293"/>
      <c r="T15" s="290"/>
      <c r="U15" s="319"/>
      <c r="V15" s="236"/>
      <c r="W15" s="239"/>
    </row>
    <row r="16" spans="1:23" ht="23.25" thickBot="1" x14ac:dyDescent="0.3">
      <c r="A16" s="5" t="s">
        <v>89</v>
      </c>
      <c r="B16" s="164"/>
      <c r="C16" s="130" t="s">
        <v>45</v>
      </c>
      <c r="D16" s="132" t="s">
        <v>46</v>
      </c>
      <c r="E16" s="12" t="s">
        <v>13</v>
      </c>
      <c r="F16" s="74">
        <v>1.5</v>
      </c>
      <c r="G16" s="38">
        <v>0.5</v>
      </c>
      <c r="H16" s="152"/>
      <c r="I16" s="173"/>
      <c r="J16" s="183"/>
      <c r="K16" s="184"/>
      <c r="L16" s="218"/>
      <c r="M16" s="227"/>
      <c r="N16" s="230"/>
      <c r="O16" s="266"/>
      <c r="P16" s="269"/>
      <c r="Q16" s="250"/>
      <c r="R16" s="269"/>
      <c r="S16" s="294"/>
      <c r="T16" s="291"/>
      <c r="U16" s="320"/>
      <c r="V16" s="237"/>
      <c r="W16" s="240"/>
    </row>
    <row r="17" spans="2:23" ht="21.6" customHeight="1" thickBot="1" x14ac:dyDescent="0.3">
      <c r="B17" s="162"/>
      <c r="C17" s="187"/>
      <c r="D17" s="165"/>
      <c r="E17" s="10"/>
      <c r="F17" s="76"/>
      <c r="G17" s="36"/>
      <c r="H17" s="150"/>
      <c r="I17" s="172"/>
      <c r="J17" s="204"/>
      <c r="K17" s="184"/>
      <c r="L17" s="216"/>
      <c r="M17" s="225"/>
      <c r="N17" s="228"/>
      <c r="O17" s="264"/>
      <c r="P17" s="267"/>
      <c r="Q17" s="267"/>
      <c r="R17" s="249"/>
      <c r="S17" s="292"/>
      <c r="T17" s="289"/>
      <c r="U17" s="318"/>
      <c r="V17" s="235"/>
      <c r="W17" s="238"/>
    </row>
    <row r="18" spans="2:23" ht="15.75" thickBot="1" x14ac:dyDescent="0.3">
      <c r="B18" s="186"/>
      <c r="C18" s="188"/>
      <c r="D18" s="166"/>
      <c r="E18" s="126"/>
      <c r="F18" s="127"/>
      <c r="G18" s="128"/>
      <c r="H18" s="161"/>
      <c r="I18" s="174"/>
      <c r="J18" s="205"/>
      <c r="K18" s="215"/>
      <c r="L18" s="258"/>
      <c r="M18" s="259"/>
      <c r="N18" s="260"/>
      <c r="O18" s="327"/>
      <c r="P18" s="326"/>
      <c r="Q18" s="326"/>
      <c r="R18" s="332"/>
      <c r="S18" s="325"/>
      <c r="T18" s="331"/>
      <c r="U18" s="324"/>
      <c r="V18" s="247"/>
      <c r="W18" s="248"/>
    </row>
    <row r="19" spans="2:23" ht="15.75" thickTop="1" x14ac:dyDescent="0.25">
      <c r="G19" s="97"/>
      <c r="H19" s="3"/>
      <c r="T19" s="6"/>
      <c r="W19" s="4"/>
    </row>
  </sheetData>
  <mergeCells count="61">
    <mergeCell ref="W17:W18"/>
    <mergeCell ref="Q17:Q18"/>
    <mergeCell ref="R17:R18"/>
    <mergeCell ref="S17:S18"/>
    <mergeCell ref="T17:T18"/>
    <mergeCell ref="U17:U18"/>
    <mergeCell ref="V17:V18"/>
    <mergeCell ref="P17:P18"/>
    <mergeCell ref="B17:B18"/>
    <mergeCell ref="C17:C18"/>
    <mergeCell ref="D17:D18"/>
    <mergeCell ref="H17:H18"/>
    <mergeCell ref="I17:I18"/>
    <mergeCell ref="J17:J18"/>
    <mergeCell ref="K17:K18"/>
    <mergeCell ref="L17:L18"/>
    <mergeCell ref="M17:M18"/>
    <mergeCell ref="N17:N18"/>
    <mergeCell ref="O17:O18"/>
    <mergeCell ref="W8:W16"/>
    <mergeCell ref="L8:L16"/>
    <mergeCell ref="M8:M16"/>
    <mergeCell ref="N8:N16"/>
    <mergeCell ref="O8:O16"/>
    <mergeCell ref="P8:P16"/>
    <mergeCell ref="Q8:Q16"/>
    <mergeCell ref="R8:R16"/>
    <mergeCell ref="S8:S16"/>
    <mergeCell ref="T8:T16"/>
    <mergeCell ref="U8:U16"/>
    <mergeCell ref="V8:V16"/>
    <mergeCell ref="B8:B16"/>
    <mergeCell ref="H8:H16"/>
    <mergeCell ref="I8:I16"/>
    <mergeCell ref="J8:J16"/>
    <mergeCell ref="K8:K16"/>
    <mergeCell ref="S3:S7"/>
    <mergeCell ref="T3:T7"/>
    <mergeCell ref="U3:U7"/>
    <mergeCell ref="V3:V7"/>
    <mergeCell ref="W3:W7"/>
    <mergeCell ref="R3:R7"/>
    <mergeCell ref="B3:B7"/>
    <mergeCell ref="H3:H7"/>
    <mergeCell ref="I3:I7"/>
    <mergeCell ref="J3:J7"/>
    <mergeCell ref="K3:K7"/>
    <mergeCell ref="L3:L7"/>
    <mergeCell ref="M3:M7"/>
    <mergeCell ref="N3:N7"/>
    <mergeCell ref="O3:O7"/>
    <mergeCell ref="P3:P7"/>
    <mergeCell ref="Q3:Q7"/>
    <mergeCell ref="V1:V2"/>
    <mergeCell ref="W1:W2"/>
    <mergeCell ref="B1:B2"/>
    <mergeCell ref="C1:C2"/>
    <mergeCell ref="D1:D2"/>
    <mergeCell ref="E1:E2"/>
    <mergeCell ref="J1:K1"/>
    <mergeCell ref="O1:T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Folha1</vt:lpstr>
      <vt:lpstr>Folha2</vt:lpstr>
      <vt:lpstr>Folha1!Área_de_Impressão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Sanches</dc:creator>
  <cp:lastModifiedBy>Diogo Teixeira</cp:lastModifiedBy>
  <cp:lastPrinted>2020-12-10T00:46:06Z</cp:lastPrinted>
  <dcterms:created xsi:type="dcterms:W3CDTF">2020-11-25T15:21:24Z</dcterms:created>
  <dcterms:modified xsi:type="dcterms:W3CDTF">2022-07-07T11:41:55Z</dcterms:modified>
</cp:coreProperties>
</file>