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SCHIU PT\ADJUDICACOES\2023\Quadrante-CALB\4 ParecerAPA\Enviado\"/>
    </mc:Choice>
  </mc:AlternateContent>
  <xr:revisionPtr revIDLastSave="0" documentId="13_ncr:1_{AA9B07E9-3BE4-44E6-8D9A-CFC34D07B29A}" xr6:coauthVersionLast="40" xr6:coauthVersionMax="40" xr10:uidLastSave="{00000000-0000-0000-0000-000000000000}"/>
  <bookViews>
    <workbookView xWindow="-120" yWindow="-120" windowWidth="29040" windowHeight="15840" tabRatio="865" activeTab="7" xr2:uid="{00000000-000D-0000-FFFF-FFFF00000000}"/>
  </bookViews>
  <sheets>
    <sheet name="Ponto 2-A" sheetId="35" r:id="rId1"/>
    <sheet name="Ponto 2-B" sheetId="8" r:id="rId2"/>
    <sheet name="Ponto 3-A" sheetId="38" r:id="rId3"/>
    <sheet name="Ponto 3-B" sheetId="39" r:id="rId4"/>
    <sheet name="Ponto 4-A" sheetId="40" r:id="rId5"/>
    <sheet name="Ponto 4-B" sheetId="43" r:id="rId6"/>
    <sheet name="Ponto 5-A" sheetId="41" r:id="rId7"/>
    <sheet name="Ponto 5-B" sheetId="42" r:id="rId8"/>
  </sheets>
  <definedNames>
    <definedName name="_xlnm.Print_Area" localSheetId="0">'Ponto 2-A'!$A$81:$G$139</definedName>
    <definedName name="_xlnm.Print_Area" localSheetId="1">'Ponto 2-B'!$A$81:$G$139</definedName>
    <definedName name="_xlnm.Print_Area" localSheetId="2">'Ponto 3-A'!$A$81:$G$139</definedName>
    <definedName name="_xlnm.Print_Area" localSheetId="3">'Ponto 3-B'!$A$81:$G$139</definedName>
    <definedName name="_xlnm.Print_Area" localSheetId="4">'Ponto 4-A'!$A$81:$G$139</definedName>
    <definedName name="_xlnm.Print_Area" localSheetId="5">'Ponto 4-B'!$A$81:$G$139</definedName>
    <definedName name="_xlnm.Print_Area" localSheetId="6">'Ponto 5-A'!$A$81:$G$139</definedName>
    <definedName name="_xlnm.Print_Area" localSheetId="7">'Ponto 5-B'!$A$81:$G$139</definedName>
  </definedNames>
  <calcPr calcId="181029"/>
</workbook>
</file>

<file path=xl/calcChain.xml><?xml version="1.0" encoding="utf-8"?>
<calcChain xmlns="http://schemas.openxmlformats.org/spreadsheetml/2006/main">
  <c r="C86" i="35" l="1"/>
  <c r="C86" i="42" l="1"/>
  <c r="C85" i="42"/>
  <c r="C84" i="42"/>
  <c r="C83" i="42"/>
  <c r="C82" i="42"/>
  <c r="C86" i="41"/>
  <c r="C85" i="41"/>
  <c r="C84" i="41"/>
  <c r="C83" i="41"/>
  <c r="C82" i="41"/>
  <c r="C86" i="43"/>
  <c r="C85" i="43"/>
  <c r="C84" i="43"/>
  <c r="C83" i="43"/>
  <c r="C82" i="43"/>
  <c r="C86" i="40"/>
  <c r="C85" i="40"/>
  <c r="C84" i="40"/>
  <c r="C83" i="40"/>
  <c r="C82" i="40"/>
  <c r="C86" i="39"/>
  <c r="C85" i="39"/>
  <c r="C84" i="39"/>
  <c r="C83" i="39"/>
  <c r="C82" i="39"/>
  <c r="C86" i="38"/>
  <c r="C85" i="38"/>
  <c r="C84" i="38"/>
  <c r="C83" i="38"/>
  <c r="C82" i="38"/>
  <c r="C86" i="8"/>
  <c r="C85" i="8"/>
  <c r="C84" i="8"/>
  <c r="C83" i="8"/>
  <c r="C82" i="8"/>
  <c r="C85" i="35"/>
  <c r="F118" i="43" l="1"/>
  <c r="E118" i="43"/>
  <c r="D118" i="43"/>
  <c r="C118" i="43"/>
  <c r="D114" i="43"/>
  <c r="C114" i="43"/>
  <c r="D113" i="43"/>
  <c r="C113" i="43"/>
  <c r="G112" i="43"/>
  <c r="D112" i="43"/>
  <c r="C112" i="43"/>
  <c r="C109" i="43"/>
  <c r="G108" i="43"/>
  <c r="D107" i="43"/>
  <c r="C107" i="43"/>
  <c r="G106" i="43"/>
  <c r="D106" i="43"/>
  <c r="C106" i="43"/>
  <c r="D105" i="43"/>
  <c r="C105" i="43"/>
  <c r="D103" i="43"/>
  <c r="C103" i="43"/>
  <c r="D102" i="43"/>
  <c r="C102" i="43"/>
  <c r="F101" i="43"/>
  <c r="D101" i="43"/>
  <c r="C101" i="43"/>
  <c r="C88" i="43"/>
  <c r="C40" i="43"/>
  <c r="V39" i="43"/>
  <c r="X33" i="43"/>
  <c r="X19" i="43"/>
  <c r="W19" i="43"/>
  <c r="X18" i="43"/>
  <c r="W18" i="43"/>
  <c r="X17" i="43"/>
  <c r="W17" i="43"/>
  <c r="X14" i="43"/>
  <c r="W14" i="43"/>
  <c r="X13" i="43"/>
  <c r="W13" i="43"/>
  <c r="W23" i="43" s="1"/>
  <c r="X12" i="43"/>
  <c r="W12" i="43"/>
  <c r="X8" i="43"/>
  <c r="W8" i="43"/>
  <c r="X7" i="43"/>
  <c r="W7" i="43"/>
  <c r="X6" i="43"/>
  <c r="X27" i="43" s="1"/>
  <c r="W6" i="43"/>
  <c r="F118" i="42"/>
  <c r="E118" i="42"/>
  <c r="D118" i="42"/>
  <c r="C118" i="42"/>
  <c r="D114" i="42"/>
  <c r="C114" i="42"/>
  <c r="D113" i="42"/>
  <c r="C113" i="42"/>
  <c r="G112" i="42"/>
  <c r="D112" i="42"/>
  <c r="C112" i="42"/>
  <c r="C109" i="42"/>
  <c r="G108" i="42"/>
  <c r="D107" i="42"/>
  <c r="C107" i="42"/>
  <c r="G106" i="42"/>
  <c r="D106" i="42"/>
  <c r="C106" i="42"/>
  <c r="D105" i="42"/>
  <c r="C105" i="42"/>
  <c r="D103" i="42"/>
  <c r="C103" i="42"/>
  <c r="D102" i="42"/>
  <c r="C102" i="42"/>
  <c r="F101" i="42"/>
  <c r="D101" i="42"/>
  <c r="C101" i="42"/>
  <c r="C88" i="42"/>
  <c r="C40" i="42"/>
  <c r="V39" i="42"/>
  <c r="X33" i="42"/>
  <c r="X19" i="42"/>
  <c r="W19" i="42"/>
  <c r="W24" i="42" s="1"/>
  <c r="X18" i="42"/>
  <c r="W18" i="42"/>
  <c r="X17" i="42"/>
  <c r="W17" i="42"/>
  <c r="X14" i="42"/>
  <c r="W14" i="42"/>
  <c r="X13" i="42"/>
  <c r="W13" i="42"/>
  <c r="X12" i="42"/>
  <c r="W12" i="42"/>
  <c r="X8" i="42"/>
  <c r="W8" i="42"/>
  <c r="X7" i="42"/>
  <c r="W7" i="42"/>
  <c r="X6" i="42"/>
  <c r="W6" i="42"/>
  <c r="F118" i="41"/>
  <c r="E118" i="41"/>
  <c r="D118" i="41"/>
  <c r="C118" i="41"/>
  <c r="D114" i="41"/>
  <c r="C114" i="41"/>
  <c r="D113" i="41"/>
  <c r="C113" i="41"/>
  <c r="G112" i="41"/>
  <c r="D112" i="41"/>
  <c r="C112" i="41"/>
  <c r="C109" i="41"/>
  <c r="G108" i="41"/>
  <c r="D107" i="41"/>
  <c r="C107" i="41"/>
  <c r="G106" i="41"/>
  <c r="D106" i="41"/>
  <c r="C106" i="41"/>
  <c r="D105" i="41"/>
  <c r="C105" i="41"/>
  <c r="D103" i="41"/>
  <c r="C103" i="41"/>
  <c r="D102" i="41"/>
  <c r="C102" i="41"/>
  <c r="F101" i="41"/>
  <c r="D101" i="41"/>
  <c r="C101" i="41"/>
  <c r="C88" i="41"/>
  <c r="C40" i="41"/>
  <c r="V39" i="41"/>
  <c r="X33" i="41"/>
  <c r="X19" i="41"/>
  <c r="W19" i="41"/>
  <c r="X18" i="41"/>
  <c r="W18" i="41"/>
  <c r="X17" i="41"/>
  <c r="W17" i="41"/>
  <c r="X14" i="41"/>
  <c r="W14" i="41"/>
  <c r="X13" i="41"/>
  <c r="W13" i="41"/>
  <c r="X12" i="41"/>
  <c r="W12" i="41"/>
  <c r="X8" i="41"/>
  <c r="W8" i="41"/>
  <c r="X7" i="41"/>
  <c r="W7" i="41"/>
  <c r="X6" i="41"/>
  <c r="W6" i="41"/>
  <c r="F118" i="40"/>
  <c r="E118" i="40"/>
  <c r="D118" i="40"/>
  <c r="C118" i="40"/>
  <c r="D114" i="40"/>
  <c r="C114" i="40"/>
  <c r="D113" i="40"/>
  <c r="C113" i="40"/>
  <c r="G112" i="40"/>
  <c r="D112" i="40"/>
  <c r="C112" i="40"/>
  <c r="C109" i="40"/>
  <c r="G108" i="40"/>
  <c r="D107" i="40"/>
  <c r="C107" i="40"/>
  <c r="G106" i="40"/>
  <c r="D106" i="40"/>
  <c r="C106" i="40"/>
  <c r="D105" i="40"/>
  <c r="C105" i="40"/>
  <c r="D103" i="40"/>
  <c r="C103" i="40"/>
  <c r="D102" i="40"/>
  <c r="C102" i="40"/>
  <c r="F101" i="40"/>
  <c r="D101" i="40"/>
  <c r="C101" i="40"/>
  <c r="C88" i="40"/>
  <c r="C40" i="40"/>
  <c r="V39" i="40"/>
  <c r="X33" i="40"/>
  <c r="X19" i="40"/>
  <c r="W19" i="40"/>
  <c r="W24" i="40" s="1"/>
  <c r="X18" i="40"/>
  <c r="X23" i="40" s="1"/>
  <c r="W18" i="40"/>
  <c r="W28" i="40" s="1"/>
  <c r="X17" i="40"/>
  <c r="X22" i="40" s="1"/>
  <c r="W17" i="40"/>
  <c r="X14" i="40"/>
  <c r="W14" i="40"/>
  <c r="X13" i="40"/>
  <c r="W13" i="40"/>
  <c r="X12" i="40"/>
  <c r="W12" i="40"/>
  <c r="X8" i="40"/>
  <c r="W8" i="40"/>
  <c r="X7" i="40"/>
  <c r="W7" i="40"/>
  <c r="X6" i="40"/>
  <c r="W6" i="40"/>
  <c r="F118" i="39"/>
  <c r="E118" i="39"/>
  <c r="D118" i="39"/>
  <c r="C118" i="39"/>
  <c r="D114" i="39"/>
  <c r="C114" i="39"/>
  <c r="D113" i="39"/>
  <c r="C113" i="39"/>
  <c r="G112" i="39"/>
  <c r="D112" i="39"/>
  <c r="C112" i="39"/>
  <c r="C109" i="39"/>
  <c r="G108" i="39"/>
  <c r="D107" i="39"/>
  <c r="C107" i="39"/>
  <c r="G106" i="39"/>
  <c r="D106" i="39"/>
  <c r="C106" i="39"/>
  <c r="D105" i="39"/>
  <c r="C105" i="39"/>
  <c r="D103" i="39"/>
  <c r="C103" i="39"/>
  <c r="D102" i="39"/>
  <c r="C102" i="39"/>
  <c r="F101" i="39"/>
  <c r="D101" i="39"/>
  <c r="C101" i="39"/>
  <c r="C88" i="39"/>
  <c r="C40" i="39"/>
  <c r="V39" i="39"/>
  <c r="X33" i="39"/>
  <c r="X19" i="39"/>
  <c r="W19" i="39"/>
  <c r="X18" i="39"/>
  <c r="X23" i="39" s="1"/>
  <c r="W18" i="39"/>
  <c r="W23" i="39" s="1"/>
  <c r="X17" i="39"/>
  <c r="W17" i="39"/>
  <c r="X14" i="39"/>
  <c r="W14" i="39"/>
  <c r="X13" i="39"/>
  <c r="W13" i="39"/>
  <c r="X12" i="39"/>
  <c r="W12" i="39"/>
  <c r="X8" i="39"/>
  <c r="X29" i="39" s="1"/>
  <c r="W8" i="39"/>
  <c r="X7" i="39"/>
  <c r="W7" i="39"/>
  <c r="X6" i="39"/>
  <c r="W6" i="39"/>
  <c r="E118" i="38"/>
  <c r="D118" i="38"/>
  <c r="C118" i="38"/>
  <c r="D114" i="38"/>
  <c r="C114" i="38"/>
  <c r="D113" i="38"/>
  <c r="C113" i="38"/>
  <c r="G112" i="38"/>
  <c r="D112" i="38"/>
  <c r="C112" i="38"/>
  <c r="C109" i="38"/>
  <c r="G108" i="38"/>
  <c r="D107" i="38"/>
  <c r="C107" i="38"/>
  <c r="G106" i="38"/>
  <c r="D106" i="38"/>
  <c r="C106" i="38"/>
  <c r="D105" i="38"/>
  <c r="C105" i="38"/>
  <c r="D103" i="38"/>
  <c r="C103" i="38"/>
  <c r="D102" i="38"/>
  <c r="C102" i="38"/>
  <c r="F101" i="38"/>
  <c r="D101" i="38"/>
  <c r="C101" i="38"/>
  <c r="C88" i="38"/>
  <c r="C40" i="38"/>
  <c r="V39" i="38"/>
  <c r="F118" i="38" s="1"/>
  <c r="X33" i="38"/>
  <c r="X19" i="38"/>
  <c r="W19" i="38"/>
  <c r="X18" i="38"/>
  <c r="X23" i="38" s="1"/>
  <c r="W18" i="38"/>
  <c r="X17" i="38"/>
  <c r="W17" i="38"/>
  <c r="X14" i="38"/>
  <c r="W14" i="38"/>
  <c r="X13" i="38"/>
  <c r="W13" i="38"/>
  <c r="X12" i="38"/>
  <c r="W12" i="38"/>
  <c r="X8" i="38"/>
  <c r="W8" i="38"/>
  <c r="X7" i="38"/>
  <c r="W7" i="38"/>
  <c r="X6" i="38"/>
  <c r="W6" i="38"/>
  <c r="F118" i="35"/>
  <c r="E118" i="35"/>
  <c r="D118" i="35"/>
  <c r="C118" i="35"/>
  <c r="G112" i="35"/>
  <c r="E112" i="35"/>
  <c r="D112" i="35"/>
  <c r="C112" i="35"/>
  <c r="G108" i="35"/>
  <c r="C108" i="35"/>
  <c r="G106" i="35"/>
  <c r="E105" i="35"/>
  <c r="D105" i="35"/>
  <c r="C105" i="35"/>
  <c r="F101" i="35"/>
  <c r="D101" i="35"/>
  <c r="C101" i="35"/>
  <c r="C88" i="35"/>
  <c r="C84" i="35"/>
  <c r="C83" i="35"/>
  <c r="C82" i="35"/>
  <c r="C36" i="35"/>
  <c r="R35" i="35"/>
  <c r="R27" i="35"/>
  <c r="T21" i="35"/>
  <c r="S21" i="35"/>
  <c r="R21" i="35"/>
  <c r="I16" i="35"/>
  <c r="T13" i="35" s="1"/>
  <c r="S13" i="35"/>
  <c r="R13" i="35"/>
  <c r="T11" i="35"/>
  <c r="T15" i="35" s="1"/>
  <c r="S11" i="35"/>
  <c r="R11" i="35"/>
  <c r="G56" i="8"/>
  <c r="W28" i="42" l="1"/>
  <c r="X28" i="42"/>
  <c r="X28" i="43"/>
  <c r="W24" i="43"/>
  <c r="W22" i="43"/>
  <c r="X22" i="43"/>
  <c r="W27" i="43"/>
  <c r="X23" i="43"/>
  <c r="W22" i="39"/>
  <c r="W27" i="39"/>
  <c r="X27" i="39"/>
  <c r="W24" i="39"/>
  <c r="X24" i="39"/>
  <c r="W27" i="41"/>
  <c r="W23" i="41"/>
  <c r="W24" i="41"/>
  <c r="X29" i="41"/>
  <c r="X27" i="41"/>
  <c r="X29" i="40"/>
  <c r="X28" i="40"/>
  <c r="W28" i="43"/>
  <c r="X24" i="43"/>
  <c r="X25" i="43" s="1"/>
  <c r="W29" i="43"/>
  <c r="X29" i="43"/>
  <c r="X30" i="43" s="1"/>
  <c r="W25" i="43"/>
  <c r="W22" i="42"/>
  <c r="X27" i="42"/>
  <c r="X22" i="42"/>
  <c r="W27" i="42"/>
  <c r="X24" i="42"/>
  <c r="W23" i="42"/>
  <c r="X23" i="42"/>
  <c r="W29" i="42"/>
  <c r="X29" i="42"/>
  <c r="X28" i="41"/>
  <c r="X24" i="41"/>
  <c r="X23" i="41"/>
  <c r="W29" i="41"/>
  <c r="W22" i="41"/>
  <c r="X22" i="41"/>
  <c r="W28" i="41"/>
  <c r="X24" i="40"/>
  <c r="X25" i="40" s="1"/>
  <c r="W23" i="40"/>
  <c r="W29" i="40"/>
  <c r="X27" i="40"/>
  <c r="W22" i="40"/>
  <c r="W25" i="40" s="1"/>
  <c r="W27" i="40"/>
  <c r="W28" i="39"/>
  <c r="X28" i="39"/>
  <c r="X22" i="39"/>
  <c r="X25" i="39" s="1"/>
  <c r="W29" i="39"/>
  <c r="X29" i="38"/>
  <c r="X24" i="38"/>
  <c r="X28" i="38"/>
  <c r="X27" i="38"/>
  <c r="X22" i="38"/>
  <c r="W22" i="38"/>
  <c r="W27" i="38"/>
  <c r="W29" i="38"/>
  <c r="W24" i="38"/>
  <c r="W28" i="38"/>
  <c r="W23" i="38"/>
  <c r="R23" i="35"/>
  <c r="S23" i="35"/>
  <c r="R15" i="35"/>
  <c r="S15" i="35"/>
  <c r="R17" i="35" s="1"/>
  <c r="T23" i="35"/>
  <c r="E101" i="35"/>
  <c r="X30" i="39" l="1"/>
  <c r="W25" i="39"/>
  <c r="Y25" i="39" s="1"/>
  <c r="X30" i="42"/>
  <c r="W30" i="42"/>
  <c r="W25" i="42"/>
  <c r="W30" i="43"/>
  <c r="Y30" i="43" s="1"/>
  <c r="H48" i="43" s="1"/>
  <c r="W30" i="39"/>
  <c r="Y30" i="39" s="1"/>
  <c r="W30" i="40"/>
  <c r="W30" i="41"/>
  <c r="X30" i="41"/>
  <c r="W25" i="41"/>
  <c r="X25" i="41"/>
  <c r="X30" i="40"/>
  <c r="X25" i="42"/>
  <c r="Y25" i="42" s="1"/>
  <c r="J46" i="42" s="1"/>
  <c r="E127" i="42" s="1"/>
  <c r="Y25" i="43"/>
  <c r="J46" i="43" s="1"/>
  <c r="E127" i="43" s="1"/>
  <c r="Y30" i="42"/>
  <c r="J48" i="42" s="1"/>
  <c r="E128" i="42" s="1"/>
  <c r="Y25" i="40"/>
  <c r="J46" i="40" s="1"/>
  <c r="E127" i="40" s="1"/>
  <c r="X25" i="38"/>
  <c r="X30" i="38"/>
  <c r="W25" i="38"/>
  <c r="W30" i="38"/>
  <c r="R25" i="35"/>
  <c r="G45" i="35" s="1"/>
  <c r="H43" i="35"/>
  <c r="D127" i="35" s="1"/>
  <c r="G43" i="35"/>
  <c r="I43" i="35"/>
  <c r="E127" i="35" s="1"/>
  <c r="Y30" i="41" l="1"/>
  <c r="H48" i="41" s="1"/>
  <c r="C128" i="41" s="1"/>
  <c r="Y30" i="40"/>
  <c r="Y25" i="41"/>
  <c r="H46" i="43"/>
  <c r="I46" i="43"/>
  <c r="D127" i="43" s="1"/>
  <c r="W33" i="43"/>
  <c r="J50" i="43" s="1"/>
  <c r="E131" i="43" s="1"/>
  <c r="I48" i="43"/>
  <c r="D128" i="43" s="1"/>
  <c r="J48" i="43"/>
  <c r="E128" i="43" s="1"/>
  <c r="C128" i="43"/>
  <c r="I46" i="42"/>
  <c r="D127" i="42" s="1"/>
  <c r="H46" i="42"/>
  <c r="H48" i="42"/>
  <c r="C128" i="42" s="1"/>
  <c r="I48" i="42"/>
  <c r="D128" i="42" s="1"/>
  <c r="W33" i="42"/>
  <c r="I50" i="42" s="1"/>
  <c r="D131" i="42" s="1"/>
  <c r="K48" i="42"/>
  <c r="F128" i="42" s="1"/>
  <c r="H46" i="40"/>
  <c r="I46" i="40"/>
  <c r="D127" i="40" s="1"/>
  <c r="H48" i="40"/>
  <c r="J48" i="40"/>
  <c r="E128" i="40" s="1"/>
  <c r="I48" i="40"/>
  <c r="D128" i="40" s="1"/>
  <c r="W33" i="40"/>
  <c r="J46" i="39"/>
  <c r="E127" i="39" s="1"/>
  <c r="I46" i="39"/>
  <c r="D127" i="39" s="1"/>
  <c r="H46" i="39"/>
  <c r="H48" i="39"/>
  <c r="J48" i="39"/>
  <c r="E128" i="39" s="1"/>
  <c r="I48" i="39"/>
  <c r="D128" i="39" s="1"/>
  <c r="W33" i="39"/>
  <c r="Y25" i="38"/>
  <c r="J46" i="38" s="1"/>
  <c r="E127" i="38" s="1"/>
  <c r="Y30" i="38"/>
  <c r="I48" i="38" s="1"/>
  <c r="D128" i="38" s="1"/>
  <c r="R29" i="35"/>
  <c r="I47" i="35" s="1"/>
  <c r="T27" i="35"/>
  <c r="H45" i="35"/>
  <c r="D128" i="35" s="1"/>
  <c r="I45" i="35"/>
  <c r="E128" i="35" s="1"/>
  <c r="C128" i="35"/>
  <c r="J45" i="35"/>
  <c r="F128" i="35" s="1"/>
  <c r="C127" i="35"/>
  <c r="J43" i="35"/>
  <c r="F127" i="35" s="1"/>
  <c r="K46" i="43" l="1"/>
  <c r="F127" i="43" s="1"/>
  <c r="J48" i="41"/>
  <c r="E128" i="41" s="1"/>
  <c r="I48" i="41"/>
  <c r="D128" i="41" s="1"/>
  <c r="W33" i="41"/>
  <c r="J50" i="41" s="1"/>
  <c r="E131" i="41" s="1"/>
  <c r="J46" i="41"/>
  <c r="E127" i="41" s="1"/>
  <c r="H46" i="41"/>
  <c r="H50" i="41"/>
  <c r="I46" i="41"/>
  <c r="D127" i="41" s="1"/>
  <c r="K48" i="41"/>
  <c r="F128" i="41" s="1"/>
  <c r="K46" i="40"/>
  <c r="F127" i="40" s="1"/>
  <c r="C127" i="42"/>
  <c r="K46" i="42"/>
  <c r="F127" i="42" s="1"/>
  <c r="H50" i="43"/>
  <c r="I50" i="43"/>
  <c r="D131" i="43" s="1"/>
  <c r="C127" i="43"/>
  <c r="K48" i="43"/>
  <c r="F128" i="43" s="1"/>
  <c r="J50" i="42"/>
  <c r="E131" i="42" s="1"/>
  <c r="H50" i="42"/>
  <c r="C127" i="40"/>
  <c r="J50" i="40"/>
  <c r="E131" i="40" s="1"/>
  <c r="I50" i="40"/>
  <c r="D131" i="40" s="1"/>
  <c r="H50" i="40"/>
  <c r="C128" i="40"/>
  <c r="K48" i="40"/>
  <c r="F128" i="40" s="1"/>
  <c r="K46" i="39"/>
  <c r="F127" i="39" s="1"/>
  <c r="C127" i="39"/>
  <c r="J50" i="39"/>
  <c r="E131" i="39" s="1"/>
  <c r="I50" i="39"/>
  <c r="D131" i="39" s="1"/>
  <c r="H50" i="39"/>
  <c r="K48" i="39"/>
  <c r="F128" i="39" s="1"/>
  <c r="C128" i="39"/>
  <c r="I46" i="38"/>
  <c r="D127" i="38" s="1"/>
  <c r="H46" i="38"/>
  <c r="W33" i="38"/>
  <c r="I50" i="38" s="1"/>
  <c r="D131" i="38" s="1"/>
  <c r="J48" i="38"/>
  <c r="E128" i="38" s="1"/>
  <c r="H48" i="38"/>
  <c r="C128" i="38" s="1"/>
  <c r="G47" i="35"/>
  <c r="G54" i="35" s="1"/>
  <c r="H47" i="35"/>
  <c r="I54" i="35"/>
  <c r="E131" i="35"/>
  <c r="D131" i="35"/>
  <c r="H54" i="35"/>
  <c r="H57" i="43" l="1"/>
  <c r="J57" i="43"/>
  <c r="E138" i="43" s="1"/>
  <c r="I57" i="43"/>
  <c r="D138" i="43" s="1"/>
  <c r="C131" i="43"/>
  <c r="I50" i="41"/>
  <c r="D131" i="41" s="1"/>
  <c r="C127" i="41"/>
  <c r="K46" i="41"/>
  <c r="F127" i="41" s="1"/>
  <c r="I57" i="41"/>
  <c r="I59" i="41" s="1"/>
  <c r="H57" i="41"/>
  <c r="C138" i="41" s="1"/>
  <c r="C131" i="41"/>
  <c r="J57" i="41"/>
  <c r="J59" i="41" s="1"/>
  <c r="K50" i="41"/>
  <c r="F131" i="41" s="1"/>
  <c r="H57" i="42"/>
  <c r="H59" i="42" s="1"/>
  <c r="K50" i="43"/>
  <c r="F131" i="43" s="1"/>
  <c r="C127" i="38"/>
  <c r="C138" i="43"/>
  <c r="H59" i="43"/>
  <c r="J57" i="42"/>
  <c r="C131" i="42"/>
  <c r="I57" i="42"/>
  <c r="D138" i="42" s="1"/>
  <c r="K50" i="42"/>
  <c r="F131" i="42" s="1"/>
  <c r="H57" i="40"/>
  <c r="K50" i="40"/>
  <c r="F131" i="40" s="1"/>
  <c r="J57" i="40"/>
  <c r="C131" i="40"/>
  <c r="I57" i="40"/>
  <c r="H57" i="39"/>
  <c r="K50" i="39"/>
  <c r="F131" i="39" s="1"/>
  <c r="J57" i="39"/>
  <c r="I57" i="39"/>
  <c r="C131" i="39"/>
  <c r="K46" i="38"/>
  <c r="F127" i="38" s="1"/>
  <c r="K48" i="38"/>
  <c r="F128" i="38" s="1"/>
  <c r="J50" i="38"/>
  <c r="E131" i="38" s="1"/>
  <c r="H50" i="38"/>
  <c r="J47" i="35"/>
  <c r="F131" i="35" s="1"/>
  <c r="C131" i="35"/>
  <c r="D138" i="35"/>
  <c r="H56" i="35"/>
  <c r="G56" i="35"/>
  <c r="R54" i="35"/>
  <c r="J54" i="35" s="1"/>
  <c r="F138" i="35" s="1"/>
  <c r="C138" i="35"/>
  <c r="E138" i="35"/>
  <c r="I56" i="35"/>
  <c r="J59" i="43" l="1"/>
  <c r="C138" i="42"/>
  <c r="V57" i="43"/>
  <c r="K57" i="43" s="1"/>
  <c r="F138" i="43" s="1"/>
  <c r="I59" i="43"/>
  <c r="V57" i="41"/>
  <c r="K57" i="41" s="1"/>
  <c r="F138" i="41" s="1"/>
  <c r="E138" i="41"/>
  <c r="D138" i="41"/>
  <c r="H59" i="41"/>
  <c r="V57" i="42"/>
  <c r="K57" i="42" s="1"/>
  <c r="F138" i="42" s="1"/>
  <c r="I57" i="38"/>
  <c r="D138" i="38" s="1"/>
  <c r="I59" i="42"/>
  <c r="J59" i="42"/>
  <c r="E138" i="42"/>
  <c r="C138" i="40"/>
  <c r="H59" i="40"/>
  <c r="V57" i="40"/>
  <c r="K57" i="40" s="1"/>
  <c r="F138" i="40" s="1"/>
  <c r="D138" i="40"/>
  <c r="I59" i="40"/>
  <c r="E138" i="40"/>
  <c r="J59" i="40"/>
  <c r="C138" i="39"/>
  <c r="H59" i="39"/>
  <c r="V57" i="39"/>
  <c r="K57" i="39" s="1"/>
  <c r="F138" i="39" s="1"/>
  <c r="D138" i="39"/>
  <c r="I59" i="39"/>
  <c r="E138" i="39"/>
  <c r="J59" i="39"/>
  <c r="H57" i="38"/>
  <c r="H59" i="38" s="1"/>
  <c r="J57" i="38"/>
  <c r="E138" i="38" s="1"/>
  <c r="C131" i="38"/>
  <c r="K50" i="38"/>
  <c r="F131" i="38" s="1"/>
  <c r="I59" i="38" l="1"/>
  <c r="C138" i="38"/>
  <c r="V57" i="38"/>
  <c r="K57" i="38" s="1"/>
  <c r="F138" i="38" s="1"/>
  <c r="J59" i="38"/>
  <c r="I16" i="8" l="1"/>
  <c r="G108" i="8" l="1"/>
  <c r="R11" i="8" l="1"/>
  <c r="S11" i="8"/>
  <c r="T11" i="8"/>
  <c r="R13" i="8"/>
  <c r="S13" i="8"/>
  <c r="T13" i="8"/>
  <c r="R21" i="8"/>
  <c r="S21" i="8"/>
  <c r="T21" i="8"/>
  <c r="R27" i="8"/>
  <c r="R35" i="8"/>
  <c r="C36" i="8"/>
  <c r="C88" i="8"/>
  <c r="C101" i="8"/>
  <c r="D101" i="8"/>
  <c r="E101" i="8"/>
  <c r="F101" i="8"/>
  <c r="C105" i="8"/>
  <c r="D105" i="8"/>
  <c r="E105" i="8"/>
  <c r="G106" i="8"/>
  <c r="C108" i="8"/>
  <c r="C112" i="8"/>
  <c r="D112" i="8"/>
  <c r="E112" i="8"/>
  <c r="G112" i="8"/>
  <c r="C118" i="8"/>
  <c r="D118" i="8"/>
  <c r="E118" i="8"/>
  <c r="F118" i="8" l="1"/>
  <c r="T15" i="8"/>
  <c r="T23" i="8"/>
  <c r="R15" i="8"/>
  <c r="S23" i="8"/>
  <c r="R23" i="8"/>
  <c r="S15" i="8"/>
  <c r="R25" i="8" l="1"/>
  <c r="G45" i="8" s="1"/>
  <c r="R17" i="8"/>
  <c r="H43" i="8" s="1"/>
  <c r="D127" i="8" s="1"/>
  <c r="H45" i="8" l="1"/>
  <c r="D128" i="8" s="1"/>
  <c r="I45" i="8"/>
  <c r="E128" i="8" s="1"/>
  <c r="T27" i="8"/>
  <c r="R29" i="8"/>
  <c r="G47" i="8" s="1"/>
  <c r="C131" i="8" s="1"/>
  <c r="G43" i="8"/>
  <c r="C127" i="8" s="1"/>
  <c r="I43" i="8"/>
  <c r="E127" i="8" s="1"/>
  <c r="C128" i="8"/>
  <c r="J43" i="8" l="1"/>
  <c r="F127" i="8" s="1"/>
  <c r="J45" i="8"/>
  <c r="F128" i="8" s="1"/>
  <c r="G54" i="8"/>
  <c r="I47" i="8"/>
  <c r="I54" i="8" s="1"/>
  <c r="E138" i="8" s="1"/>
  <c r="H47" i="8"/>
  <c r="D131" i="8" s="1"/>
  <c r="C138" i="8" l="1"/>
  <c r="J47" i="8"/>
  <c r="F131" i="8" s="1"/>
  <c r="E131" i="8"/>
  <c r="I56" i="8"/>
  <c r="H54" i="8"/>
  <c r="D138" i="8" s="1"/>
  <c r="H56" i="8" l="1"/>
  <c r="R54" i="8"/>
  <c r="J54" i="8" s="1"/>
  <c r="F138" i="8" s="1"/>
</calcChain>
</file>

<file path=xl/sharedStrings.xml><?xml version="1.0" encoding="utf-8"?>
<sst xmlns="http://schemas.openxmlformats.org/spreadsheetml/2006/main" count="752" uniqueCount="94">
  <si>
    <t>Separação horizontal das fases (m):</t>
    <phoneticPr fontId="5" type="noConversion"/>
  </si>
  <si>
    <t>Campo Eléctrico Emax (kV/cm):</t>
    <phoneticPr fontId="5" type="noConversion"/>
  </si>
  <si>
    <t>Empresa:</t>
    <phoneticPr fontId="5" type="noConversion"/>
  </si>
  <si>
    <t>Altura relativa fases (m):</t>
    <phoneticPr fontId="5" type="noConversion"/>
  </si>
  <si>
    <t>Diâmetro dos condutores:</t>
    <phoneticPr fontId="5" type="noConversion"/>
  </si>
  <si>
    <t>Voltagem:</t>
    <phoneticPr fontId="5" type="noConversion"/>
  </si>
  <si>
    <t>cm</t>
    <phoneticPr fontId="5" type="noConversion"/>
  </si>
  <si>
    <t>pwl desfavoralvel</t>
    <phoneticPr fontId="5" type="noConversion"/>
  </si>
  <si>
    <t>pwl favoravel</t>
    <phoneticPr fontId="5" type="noConversion"/>
  </si>
  <si>
    <t>d radial</t>
    <phoneticPr fontId="5" type="noConversion"/>
  </si>
  <si>
    <t>lp favoravel</t>
    <phoneticPr fontId="5" type="noConversion"/>
  </si>
  <si>
    <t>lp desfavoravel</t>
    <phoneticPr fontId="5" type="noConversion"/>
  </si>
  <si>
    <t>total</t>
    <phoneticPr fontId="5" type="noConversion"/>
  </si>
  <si>
    <t>LT</t>
    <phoneticPr fontId="5" type="noConversion"/>
  </si>
  <si>
    <t>Ltot</t>
    <phoneticPr fontId="5" type="noConversion"/>
  </si>
  <si>
    <t>LT</t>
    <phoneticPr fontId="5" type="noConversion"/>
  </si>
  <si>
    <t>Local:</t>
    <phoneticPr fontId="5" type="noConversion"/>
  </si>
  <si>
    <t>Linha:</t>
    <phoneticPr fontId="5" type="noConversion"/>
  </si>
  <si>
    <t>Voltagem:</t>
    <phoneticPr fontId="5" type="noConversion"/>
  </si>
  <si>
    <t>Local:</t>
    <phoneticPr fontId="5" type="noConversion"/>
  </si>
  <si>
    <t>Data:</t>
    <phoneticPr fontId="5" type="noConversion"/>
  </si>
  <si>
    <t>Campanha:</t>
    <phoneticPr fontId="5" type="noConversion"/>
  </si>
  <si>
    <t>dB(A)</t>
    <phoneticPr fontId="5" type="noConversion"/>
  </si>
  <si>
    <t>Ruído particular/Linha MAT previsto</t>
    <phoneticPr fontId="5" type="noConversion"/>
  </si>
  <si>
    <t>centro</t>
  </si>
  <si>
    <t>centro</t>
    <phoneticPr fontId="5" type="noConversion"/>
  </si>
  <si>
    <t>Receptor</t>
    <phoneticPr fontId="5" type="noConversion"/>
  </si>
  <si>
    <t>m</t>
    <phoneticPr fontId="5" type="noConversion"/>
  </si>
  <si>
    <t>dB(A)</t>
    <phoneticPr fontId="5" type="noConversion"/>
  </si>
  <si>
    <t>Minho</t>
    <phoneticPr fontId="5" type="noConversion"/>
  </si>
  <si>
    <t>Centro (entre Douro e Tejo)</t>
    <phoneticPr fontId="5" type="noConversion"/>
  </si>
  <si>
    <t>lpw fav</t>
    <phoneticPr fontId="5" type="noConversion"/>
  </si>
  <si>
    <t>Entrada dados previsão</t>
    <phoneticPr fontId="5" type="noConversion"/>
  </si>
  <si>
    <t>Separação horizontal das fases (m):</t>
    <phoneticPr fontId="5" type="noConversion"/>
  </si>
  <si>
    <t>Campo eléctrico Emax (kV/cm):</t>
    <phoneticPr fontId="5" type="noConversion"/>
  </si>
  <si>
    <t>centro</t>
    <phoneticPr fontId="5" type="noConversion"/>
  </si>
  <si>
    <t>Receptor</t>
    <phoneticPr fontId="5" type="noConversion"/>
  </si>
  <si>
    <t>lpw desf</t>
    <phoneticPr fontId="5" type="noConversion"/>
  </si>
  <si>
    <t>m</t>
    <phoneticPr fontId="5" type="noConversion"/>
  </si>
  <si>
    <t>Diâmetro condutores (cm):</t>
    <phoneticPr fontId="5" type="noConversion"/>
  </si>
  <si>
    <t>Trás-os-Montes</t>
    <phoneticPr fontId="5" type="noConversion"/>
  </si>
  <si>
    <t>Altura relativa fases (m):</t>
    <phoneticPr fontId="5" type="noConversion"/>
  </si>
  <si>
    <t>Campanha:</t>
    <phoneticPr fontId="5" type="noConversion"/>
  </si>
  <si>
    <t>Ltot</t>
    <phoneticPr fontId="5" type="noConversion"/>
  </si>
  <si>
    <t>p</t>
    <phoneticPr fontId="5" type="noConversion"/>
  </si>
  <si>
    <t>ºC</t>
    <phoneticPr fontId="5" type="noConversion"/>
  </si>
  <si>
    <t>Humidade:</t>
    <phoneticPr fontId="5" type="noConversion"/>
  </si>
  <si>
    <t>% HR</t>
    <phoneticPr fontId="5" type="noConversion"/>
  </si>
  <si>
    <t>Lden</t>
    <phoneticPr fontId="5" type="noConversion"/>
  </si>
  <si>
    <t>Vel. Vento:</t>
    <phoneticPr fontId="5" type="noConversion"/>
  </si>
  <si>
    <t>Ruído ambiente longo termo previsto</t>
    <phoneticPr fontId="5" type="noConversion"/>
  </si>
  <si>
    <t>Ruído particular/Linha MAT previsto</t>
    <phoneticPr fontId="5" type="noConversion"/>
  </si>
  <si>
    <t>LAeq LT</t>
    <phoneticPr fontId="5" type="noConversion"/>
  </si>
  <si>
    <t>Ld</t>
    <phoneticPr fontId="5" type="noConversion"/>
  </si>
  <si>
    <t>Le</t>
    <phoneticPr fontId="5" type="noConversion"/>
  </si>
  <si>
    <t>Ln</t>
    <phoneticPr fontId="5" type="noConversion"/>
  </si>
  <si>
    <t>Ld</t>
    <phoneticPr fontId="5" type="noConversion"/>
  </si>
  <si>
    <t>Le</t>
    <phoneticPr fontId="5" type="noConversion"/>
  </si>
  <si>
    <t>Ld</t>
    <phoneticPr fontId="5" type="noConversion"/>
  </si>
  <si>
    <t>Le</t>
    <phoneticPr fontId="5" type="noConversion"/>
  </si>
  <si>
    <t>Ln</t>
    <phoneticPr fontId="5" type="noConversion"/>
  </si>
  <si>
    <t>Lden</t>
    <phoneticPr fontId="5" type="noConversion"/>
  </si>
  <si>
    <t>Ld</t>
    <phoneticPr fontId="5" type="noConversion"/>
  </si>
  <si>
    <t>Le</t>
    <phoneticPr fontId="5" type="noConversion"/>
  </si>
  <si>
    <t>Ln</t>
    <phoneticPr fontId="5" type="noConversion"/>
  </si>
  <si>
    <t>Lden</t>
    <phoneticPr fontId="5" type="noConversion"/>
  </si>
  <si>
    <t>altura relativa:</t>
    <phoneticPr fontId="5" type="noConversion"/>
  </si>
  <si>
    <t>Linha:</t>
    <phoneticPr fontId="5" type="noConversion"/>
  </si>
  <si>
    <t>Empresa:</t>
    <phoneticPr fontId="5" type="noConversion"/>
  </si>
  <si>
    <t>Sul do Tejo</t>
    <phoneticPr fontId="5" type="noConversion"/>
  </si>
  <si>
    <t>m/s</t>
    <phoneticPr fontId="5" type="noConversion"/>
  </si>
  <si>
    <t>Favorável</t>
    <phoneticPr fontId="5" type="noConversion"/>
  </si>
  <si>
    <t>Desfavorável</t>
    <phoneticPr fontId="5" type="noConversion"/>
  </si>
  <si>
    <t xml:space="preserve">D </t>
    <phoneticPr fontId="5" type="noConversion"/>
  </si>
  <si>
    <t>Data:</t>
    <phoneticPr fontId="5" type="noConversion"/>
  </si>
  <si>
    <t>Favorável</t>
  </si>
  <si>
    <t>Desfavorável</t>
  </si>
  <si>
    <t>Temperatura:</t>
  </si>
  <si>
    <t>Circuito I</t>
    <phoneticPr fontId="5" type="noConversion"/>
  </si>
  <si>
    <t>Circuito II</t>
    <phoneticPr fontId="5" type="noConversion"/>
  </si>
  <si>
    <t>m</t>
    <phoneticPr fontId="5" type="noConversion"/>
  </si>
  <si>
    <t>m</t>
    <phoneticPr fontId="5" type="noConversion"/>
  </si>
  <si>
    <t>dB(A)</t>
    <phoneticPr fontId="5" type="noConversion"/>
  </si>
  <si>
    <t>km/h</t>
    <phoneticPr fontId="5" type="noConversion"/>
  </si>
  <si>
    <t>Ruído ambiente (referência) medido</t>
    <phoneticPr fontId="5" type="noConversion"/>
  </si>
  <si>
    <t>NA</t>
  </si>
  <si>
    <t xml:space="preserve">EIA </t>
  </si>
  <si>
    <t>Ramal da Linha Central de Sines - Sines 2 para CALB A</t>
  </si>
  <si>
    <t>400 kV</t>
  </si>
  <si>
    <t>Ramal da Linha Central de Sines - Sines 3 para CALB B</t>
  </si>
  <si>
    <t>Ponto 2 (Apoio QA)</t>
  </si>
  <si>
    <t>Ponto 3 (Apoio DLT)</t>
  </si>
  <si>
    <t>Ponto 4 (Apoio DLT)</t>
  </si>
  <si>
    <t>Ponto 5 (Apoio DLT)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</si>
</sst>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Red][&gt;5]0.0;[Black][&lt;5]0.0;General"/>
    <numFmt numFmtId="166" formatCode=";;;"/>
    <numFmt numFmtId="170" formatCode="d\-mmm\-yyyy"/>
  </numFmts>
  <fonts count="2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  <charset val="2"/>
    </font>
    <font>
      <i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2">
    <xf numFmtId="0" fontId="0" fillId="0" borderId="0"/>
    <xf numFmtId="0" fontId="4" fillId="0" borderId="0"/>
  </cellStyleXfs>
  <cellXfs count="1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7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6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9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2" fontId="0" fillId="3" borderId="9" xfId="0" applyNumberFormat="1" applyFill="1" applyBorder="1" applyAlignment="1" applyProtection="1">
      <alignment horizontal="center" vertical="center"/>
      <protection locked="0"/>
    </xf>
    <xf numFmtId="164" fontId="10" fillId="3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/>
    <xf numFmtId="2" fontId="0" fillId="0" borderId="0" xfId="0" applyNumberFormat="1"/>
    <xf numFmtId="2" fontId="1" fillId="0" borderId="0" xfId="0" applyNumberFormat="1" applyFont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5" xfId="0" applyBorder="1"/>
    <xf numFmtId="0" fontId="13" fillId="2" borderId="0" xfId="0" applyFont="1" applyFill="1" applyBorder="1" applyAlignment="1">
      <alignment horizontal="center"/>
    </xf>
    <xf numFmtId="164" fontId="18" fillId="0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/>
    <xf numFmtId="0" fontId="0" fillId="2" borderId="5" xfId="0" applyFill="1" applyBorder="1" applyAlignment="1">
      <alignment vertical="center"/>
    </xf>
    <xf numFmtId="0" fontId="18" fillId="4" borderId="1" xfId="0" applyFont="1" applyFill="1" applyBorder="1" applyAlignment="1">
      <alignment horizontal="right"/>
    </xf>
    <xf numFmtId="0" fontId="18" fillId="4" borderId="4" xfId="0" applyFont="1" applyFill="1" applyBorder="1" applyAlignment="1">
      <alignment horizontal="right"/>
    </xf>
    <xf numFmtId="0" fontId="18" fillId="4" borderId="6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right"/>
    </xf>
    <xf numFmtId="0" fontId="18" fillId="2" borderId="6" xfId="0" applyFont="1" applyFill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0" fillId="4" borderId="1" xfId="0" applyFill="1" applyBorder="1"/>
    <xf numFmtId="0" fontId="0" fillId="4" borderId="3" xfId="0" applyFill="1" applyBorder="1"/>
    <xf numFmtId="0" fontId="0" fillId="4" borderId="4" xfId="0" applyFill="1" applyBorder="1"/>
    <xf numFmtId="0" fontId="16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right" vertical="center"/>
    </xf>
    <xf numFmtId="0" fontId="0" fillId="4" borderId="5" xfId="0" applyFill="1" applyBorder="1"/>
    <xf numFmtId="164" fontId="20" fillId="4" borderId="0" xfId="0" applyNumberFormat="1" applyFont="1" applyFill="1" applyBorder="1" applyAlignment="1" applyProtection="1">
      <alignment horizontal="center" vertical="center"/>
      <protection hidden="1"/>
    </xf>
    <xf numFmtId="0" fontId="15" fillId="4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0" fillId="4" borderId="0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17" fillId="5" borderId="0" xfId="0" applyFont="1" applyFill="1" applyBorder="1"/>
    <xf numFmtId="0" fontId="15" fillId="5" borderId="0" xfId="0" applyFont="1" applyFill="1" applyBorder="1"/>
    <xf numFmtId="0" fontId="15" fillId="5" borderId="0" xfId="0" applyFont="1" applyFill="1" applyBorder="1" applyAlignment="1">
      <alignment vertical="center"/>
    </xf>
    <xf numFmtId="0" fontId="0" fillId="5" borderId="5" xfId="0" applyFill="1" applyBorder="1"/>
    <xf numFmtId="0" fontId="16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right"/>
    </xf>
    <xf numFmtId="0" fontId="15" fillId="5" borderId="5" xfId="0" applyFont="1" applyFill="1" applyBorder="1" applyAlignment="1">
      <alignment vertical="center"/>
    </xf>
    <xf numFmtId="0" fontId="0" fillId="5" borderId="0" xfId="0" applyFill="1" applyBorder="1"/>
    <xf numFmtId="0" fontId="12" fillId="5" borderId="4" xfId="0" applyFont="1" applyFill="1" applyBorder="1" applyAlignment="1">
      <alignment horizontal="center"/>
    </xf>
    <xf numFmtId="165" fontId="3" fillId="5" borderId="0" xfId="0" applyNumberFormat="1" applyFont="1" applyFill="1" applyBorder="1" applyAlignment="1" applyProtection="1">
      <alignment horizontal="center" vertical="center"/>
      <protection hidden="1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2" xfId="0" applyFill="1" applyBorder="1"/>
    <xf numFmtId="0" fontId="17" fillId="4" borderId="0" xfId="0" applyFont="1" applyFill="1" applyBorder="1" applyAlignment="1">
      <alignment vertical="center"/>
    </xf>
    <xf numFmtId="0" fontId="15" fillId="4" borderId="0" xfId="0" applyFont="1" applyFill="1" applyBorder="1"/>
    <xf numFmtId="0" fontId="15" fillId="4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4" fontId="11" fillId="4" borderId="9" xfId="0" applyNumberFormat="1" applyFont="1" applyFill="1" applyBorder="1" applyAlignment="1" applyProtection="1">
      <alignment horizontal="center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/>
    </xf>
    <xf numFmtId="0" fontId="14" fillId="2" borderId="0" xfId="0" applyFont="1" applyFill="1" applyBorder="1"/>
    <xf numFmtId="164" fontId="14" fillId="2" borderId="0" xfId="0" applyNumberFormat="1" applyFont="1" applyFill="1" applyBorder="1" applyAlignment="1">
      <alignment horizontal="center" vertical="center"/>
    </xf>
    <xf numFmtId="164" fontId="1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7" xfId="0" applyBorder="1"/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2" fillId="0" borderId="0" xfId="0" applyFont="1"/>
    <xf numFmtId="164" fontId="1" fillId="6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7" xfId="0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1" fillId="0" borderId="13" xfId="0" applyNumberFormat="1" applyFont="1" applyBorder="1" applyAlignment="1">
      <alignment horizontal="center"/>
    </xf>
    <xf numFmtId="1" fontId="0" fillId="0" borderId="0" xfId="0" applyNumberFormat="1" applyBorder="1"/>
    <xf numFmtId="164" fontId="1" fillId="0" borderId="9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right"/>
    </xf>
    <xf numFmtId="164" fontId="1" fillId="4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4" borderId="14" xfId="0" applyNumberForma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16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/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4" fontId="17" fillId="7" borderId="0" xfId="0" applyNumberFormat="1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>
      <alignment horizontal="right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8" fillId="0" borderId="2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164" fontId="23" fillId="0" borderId="13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>
      <alignment horizontal="center" wrapText="1"/>
    </xf>
    <xf numFmtId="164" fontId="19" fillId="4" borderId="0" xfId="0" applyNumberFormat="1" applyFont="1" applyFill="1" applyBorder="1" applyAlignment="1" applyProtection="1">
      <alignment horizontal="right"/>
      <protection hidden="1"/>
    </xf>
    <xf numFmtId="0" fontId="0" fillId="4" borderId="0" xfId="0" applyFill="1" applyBorder="1" applyAlignment="1" applyProtection="1">
      <alignment horizontal="right"/>
      <protection hidden="1"/>
    </xf>
    <xf numFmtId="164" fontId="18" fillId="4" borderId="4" xfId="0" applyNumberFormat="1" applyFont="1" applyFill="1" applyBorder="1" applyAlignment="1" applyProtection="1">
      <alignment horizontal="right" vertical="center"/>
      <protection hidden="1"/>
    </xf>
    <xf numFmtId="164" fontId="18" fillId="2" borderId="0" xfId="0" applyNumberFormat="1" applyFont="1" applyFill="1" applyAlignment="1" applyProtection="1">
      <alignment horizontal="right" vertical="center"/>
      <protection hidden="1"/>
    </xf>
    <xf numFmtId="166" fontId="0" fillId="0" borderId="0" xfId="0" applyNumberFormat="1" applyProtection="1">
      <protection locked="0" hidden="1"/>
    </xf>
    <xf numFmtId="166" fontId="0" fillId="0" borderId="0" xfId="0" applyNumberFormat="1"/>
    <xf numFmtId="166" fontId="0" fillId="0" borderId="0" xfId="0" applyNumberFormat="1" applyProtection="1">
      <protection hidden="1"/>
    </xf>
    <xf numFmtId="0" fontId="0" fillId="2" borderId="6" xfId="0" applyFill="1" applyBorder="1" applyProtection="1">
      <protection hidden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NumberFormat="1"/>
    <xf numFmtId="0" fontId="0" fillId="0" borderId="0" xfId="0" applyNumberFormat="1" applyProtection="1">
      <protection hidden="1"/>
    </xf>
    <xf numFmtId="164" fontId="18" fillId="5" borderId="0" xfId="0" applyNumberFormat="1" applyFont="1" applyFill="1" applyAlignment="1" applyProtection="1">
      <alignment horizontal="right" vertical="center"/>
      <protection hidden="1"/>
    </xf>
    <xf numFmtId="166" fontId="18" fillId="0" borderId="0" xfId="0" applyNumberFormat="1" applyFont="1" applyFill="1" applyBorder="1" applyAlignment="1" applyProtection="1">
      <alignment horizontal="right" vertical="center"/>
      <protection hidden="1"/>
    </xf>
    <xf numFmtId="166" fontId="18" fillId="0" borderId="0" xfId="0" applyNumberFormat="1" applyFont="1" applyFill="1" applyBorder="1" applyAlignment="1" applyProtection="1">
      <alignment vertical="center"/>
      <protection hidden="1"/>
    </xf>
    <xf numFmtId="2" fontId="14" fillId="0" borderId="9" xfId="0" applyNumberFormat="1" applyFont="1" applyFill="1" applyBorder="1" applyAlignment="1" applyProtection="1">
      <alignment horizontal="center" vertical="center"/>
      <protection locked="0"/>
    </xf>
    <xf numFmtId="2" fontId="24" fillId="3" borderId="9" xfId="0" applyNumberFormat="1" applyFont="1" applyFill="1" applyBorder="1" applyAlignment="1" applyProtection="1">
      <alignment horizontal="center" vertical="center"/>
      <protection locked="0"/>
    </xf>
    <xf numFmtId="170" fontId="14" fillId="0" borderId="2" xfId="0" applyNumberFormat="1" applyFont="1" applyBorder="1" applyAlignment="1"/>
    <xf numFmtId="0" fontId="0" fillId="0" borderId="0" xfId="0" applyAlignment="1">
      <alignment horizontal="center"/>
    </xf>
    <xf numFmtId="0" fontId="14" fillId="0" borderId="0" xfId="0" applyFont="1" applyBorder="1" applyAlignment="1"/>
    <xf numFmtId="170" fontId="14" fillId="0" borderId="1" xfId="0" applyNumberFormat="1" applyFont="1" applyBorder="1" applyAlignment="1"/>
    <xf numFmtId="170" fontId="14" fillId="0" borderId="3" xfId="0" applyNumberFormat="1" applyFont="1" applyBorder="1" applyAlignment="1"/>
    <xf numFmtId="0" fontId="14" fillId="0" borderId="4" xfId="0" applyFont="1" applyBorder="1" applyAlignment="1"/>
    <xf numFmtId="0" fontId="14" fillId="0" borderId="5" xfId="0" applyFont="1" applyBorder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14" fillId="0" borderId="8" xfId="0" applyFont="1" applyBorder="1" applyAlignment="1"/>
    <xf numFmtId="14" fontId="0" fillId="0" borderId="0" xfId="0" applyNumberFormat="1" applyAlignment="1"/>
    <xf numFmtId="0" fontId="0" fillId="0" borderId="0" xfId="0" applyAlignment="1"/>
    <xf numFmtId="164" fontId="10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14" fontId="14" fillId="0" borderId="2" xfId="0" quotePrefix="1" applyNumberFormat="1" applyFont="1" applyBorder="1" applyAlignment="1" applyProtection="1">
      <alignment horizontal="left"/>
      <protection locked="0"/>
    </xf>
    <xf numFmtId="14" fontId="14" fillId="0" borderId="2" xfId="0" applyNumberFormat="1" applyFon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14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quotePrefix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4" fillId="0" borderId="7" xfId="0" quotePrefix="1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</cellXfs>
  <cellStyles count="2">
    <cellStyle name="Normal" xfId="0" builtinId="0"/>
    <cellStyle name="Normal 3" xfId="1" xr:uid="{BFE98102-03DF-4059-8857-CB306823D42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83" dropStyle="combo" dx="16" fmlaLink="$P$6" fmlaRange="$AC$2:$AC$5" sel="4" val="0"/>
</file>

<file path=xl/ctrlProps/ctrlProp2.xml><?xml version="1.0" encoding="utf-8"?>
<formControlPr xmlns="http://schemas.microsoft.com/office/spreadsheetml/2009/9/main" objectType="Drop" dropLines="83" dropStyle="combo" dx="16" fmlaLink="$P$6" fmlaRange="$AC$2:$AC$5" sel="4" val="0"/>
</file>

<file path=xl/ctrlProps/ctrlProp3.xml><?xml version="1.0" encoding="utf-8"?>
<formControlPr xmlns="http://schemas.microsoft.com/office/spreadsheetml/2009/9/main" objectType="Drop" dropLines="83" dropStyle="combo" dx="16" fmlaLink="$R$8" fmlaRange="$S$3:$S$6" sel="4" val="0"/>
</file>

<file path=xl/ctrlProps/ctrlProp4.xml><?xml version="1.0" encoding="utf-8"?>
<formControlPr xmlns="http://schemas.microsoft.com/office/spreadsheetml/2009/9/main" objectType="Drop" dropLines="83" dropStyle="combo" dx="16" fmlaLink="$R$8" fmlaRange="$S$3:$S$6" sel="4" val="0"/>
</file>

<file path=xl/ctrlProps/ctrlProp5.xml><?xml version="1.0" encoding="utf-8"?>
<formControlPr xmlns="http://schemas.microsoft.com/office/spreadsheetml/2009/9/main" objectType="Drop" dropLines="83" dropStyle="combo" dx="16" fmlaLink="$R$8" fmlaRange="$S$3:$S$6" sel="4" val="0"/>
</file>

<file path=xl/ctrlProps/ctrlProp6.xml><?xml version="1.0" encoding="utf-8"?>
<formControlPr xmlns="http://schemas.microsoft.com/office/spreadsheetml/2009/9/main" objectType="Drop" dropLines="83" dropStyle="combo" dx="16" fmlaLink="$R$8" fmlaRange="$S$3:$S$6" sel="4" val="0"/>
</file>

<file path=xl/ctrlProps/ctrlProp7.xml><?xml version="1.0" encoding="utf-8"?>
<formControlPr xmlns="http://schemas.microsoft.com/office/spreadsheetml/2009/9/main" objectType="Drop" dropLines="83" dropStyle="combo" dx="16" fmlaLink="$R$8" fmlaRange="$S$3:$S$6" sel="4" val="0"/>
</file>

<file path=xl/ctrlProps/ctrlProp8.xml><?xml version="1.0" encoding="utf-8"?>
<formControlPr xmlns="http://schemas.microsoft.com/office/spreadsheetml/2009/9/main" objectType="Drop" dropLines="83" dropStyle="combo" dx="16" fmlaLink="$R$8" fmlaRange="$S$3:$S$6" sel="4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387350</xdr:colOff>
      <xdr:row>2</xdr:row>
      <xdr:rowOff>4238</xdr:rowOff>
    </xdr:from>
    <xdr:ext cx="4512517" cy="1153970"/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73725" y="328088"/>
          <a:ext cx="4512517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simples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horizontais (em esteira)</a:t>
          </a:r>
        </a:p>
      </xdr:txBody>
    </xdr:sp>
    <xdr:clientData/>
  </xdr:oneCellAnchor>
  <xdr:oneCellAnchor>
    <xdr:from>
      <xdr:col>9</xdr:col>
      <xdr:colOff>454025</xdr:colOff>
      <xdr:row>19</xdr:row>
      <xdr:rowOff>67024</xdr:rowOff>
    </xdr:from>
    <xdr:ext cx="1251368" cy="41678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264400" y="37436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oneCellAnchor>
    <xdr:from>
      <xdr:col>1</xdr:col>
      <xdr:colOff>454025</xdr:colOff>
      <xdr:row>11</xdr:row>
      <xdr:rowOff>152400</xdr:rowOff>
    </xdr:from>
    <xdr:ext cx="1886157" cy="44640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30300" y="2257425"/>
          <a:ext cx="1886157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oneCellAnchor>
  <xdr:oneCellAnchor>
    <xdr:from>
      <xdr:col>5</xdr:col>
      <xdr:colOff>520700</xdr:colOff>
      <xdr:row>27</xdr:row>
      <xdr:rowOff>124212</xdr:rowOff>
    </xdr:from>
    <xdr:ext cx="1109471" cy="41678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64025" y="5753487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twoCellAnchor>
    <xdr:from>
      <xdr:col>1</xdr:col>
      <xdr:colOff>171450</xdr:colOff>
      <xdr:row>29</xdr:row>
      <xdr:rowOff>50800</xdr:rowOff>
    </xdr:from>
    <xdr:to>
      <xdr:col>3</xdr:col>
      <xdr:colOff>574573</xdr:colOff>
      <xdr:row>30</xdr:row>
      <xdr:rowOff>149013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47725" y="6175375"/>
          <a:ext cx="2012848" cy="28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xdr:twoCellAnchor editAs="oneCell">
    <xdr:from>
      <xdr:col>1</xdr:col>
      <xdr:colOff>561975</xdr:colOff>
      <xdr:row>15</xdr:row>
      <xdr:rowOff>76200</xdr:rowOff>
    </xdr:from>
    <xdr:to>
      <xdr:col>3</xdr:col>
      <xdr:colOff>333375</xdr:colOff>
      <xdr:row>15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2905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15</xdr:row>
      <xdr:rowOff>76200</xdr:rowOff>
    </xdr:from>
    <xdr:to>
      <xdr:col>3</xdr:col>
      <xdr:colOff>333375</xdr:colOff>
      <xdr:row>25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2905125"/>
          <a:ext cx="13811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682625</xdr:colOff>
      <xdr:row>25</xdr:row>
      <xdr:rowOff>152400</xdr:rowOff>
    </xdr:from>
    <xdr:to>
      <xdr:col>10</xdr:col>
      <xdr:colOff>187325</xdr:colOff>
      <xdr:row>27</xdr:row>
      <xdr:rowOff>101600</xdr:rowOff>
    </xdr:to>
    <xdr:sp macro="" textlink="">
      <xdr:nvSpPr>
        <xdr:cNvPr id="9" name="TextBox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731000" y="5295900"/>
          <a:ext cx="1028700" cy="434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11</xdr:col>
      <xdr:colOff>38100</xdr:colOff>
      <xdr:row>27</xdr:row>
      <xdr:rowOff>101600</xdr:rowOff>
    </xdr:from>
    <xdr:to>
      <xdr:col>12</xdr:col>
      <xdr:colOff>50800</xdr:colOff>
      <xdr:row>29</xdr:row>
      <xdr:rowOff>37187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372475" y="5730875"/>
          <a:ext cx="774700" cy="430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415952</xdr:colOff>
      <xdr:row>93</xdr:row>
      <xdr:rowOff>13840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850" y="16906875"/>
          <a:ext cx="225110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esteira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584200</xdr:colOff>
      <xdr:row>95</xdr:row>
      <xdr:rowOff>38100</xdr:rowOff>
    </xdr:from>
    <xdr:to>
      <xdr:col>4</xdr:col>
      <xdr:colOff>511201</xdr:colOff>
      <xdr:row>96</xdr:row>
      <xdr:rowOff>145544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60475" y="17878425"/>
          <a:ext cx="229872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161925</xdr:colOff>
      <xdr:row>123</xdr:row>
      <xdr:rowOff>101601</xdr:rowOff>
    </xdr:from>
    <xdr:to>
      <xdr:col>1</xdr:col>
      <xdr:colOff>612621</xdr:colOff>
      <xdr:row>125</xdr:row>
      <xdr:rowOff>47120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1925" y="22475826"/>
          <a:ext cx="112697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2550" y="21202650"/>
          <a:ext cx="149542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15875</xdr:colOff>
      <xdr:row>98</xdr:row>
      <xdr:rowOff>85725</xdr:rowOff>
    </xdr:from>
    <xdr:to>
      <xdr:col>1</xdr:col>
      <xdr:colOff>822177</xdr:colOff>
      <xdr:row>102</xdr:row>
      <xdr:rowOff>31842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92150" y="18411825"/>
          <a:ext cx="806302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66675</xdr:colOff>
      <xdr:row>102</xdr:row>
      <xdr:rowOff>98425</xdr:rowOff>
    </xdr:from>
    <xdr:to>
      <xdr:col>1</xdr:col>
      <xdr:colOff>771525</xdr:colOff>
      <xdr:row>106</xdr:row>
      <xdr:rowOff>44542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42950" y="19072225"/>
          <a:ext cx="704850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517525</xdr:colOff>
      <xdr:row>109</xdr:row>
      <xdr:rowOff>149225</xdr:rowOff>
    </xdr:from>
    <xdr:to>
      <xdr:col>2</xdr:col>
      <xdr:colOff>50800</xdr:colOff>
      <xdr:row>113</xdr:row>
      <xdr:rowOff>80530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17525" y="20256500"/>
          <a:ext cx="105727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2</xdr:col>
      <xdr:colOff>574675</xdr:colOff>
      <xdr:row>106</xdr:row>
      <xdr:rowOff>85725</xdr:rowOff>
    </xdr:from>
    <xdr:to>
      <xdr:col>4</xdr:col>
      <xdr:colOff>199859</xdr:colOff>
      <xdr:row>110</xdr:row>
      <xdr:rowOff>31842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098675" y="19707225"/>
          <a:ext cx="114918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condutores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0</xdr:colOff>
      <xdr:row>98</xdr:row>
      <xdr:rowOff>98425</xdr:rowOff>
    </xdr:from>
    <xdr:to>
      <xdr:col>6</xdr:col>
      <xdr:colOff>612588</xdr:colOff>
      <xdr:row>100</xdr:row>
      <xdr:rowOff>29132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743325" y="18424525"/>
          <a:ext cx="137458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803400" y="24117300"/>
          <a:ext cx="23145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146014</xdr:colOff>
      <xdr:row>131</xdr:row>
      <xdr:rowOff>76136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0" y="23358475"/>
          <a:ext cx="1670014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LAeq LT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previsto </a:t>
          </a:r>
        </a:p>
      </xdr:txBody>
    </xdr:sp>
    <xdr:clientData/>
  </xdr:twoCellAnchor>
  <xdr:twoCellAnchor>
    <xdr:from>
      <xdr:col>5</xdr:col>
      <xdr:colOff>212725</xdr:colOff>
      <xdr:row>102</xdr:row>
      <xdr:rowOff>0</xdr:rowOff>
    </xdr:from>
    <xdr:to>
      <xdr:col>6</xdr:col>
      <xdr:colOff>504935</xdr:colOff>
      <xdr:row>103</xdr:row>
      <xdr:rowOff>107444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956050" y="18973800"/>
          <a:ext cx="10542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5</xdr:col>
      <xdr:colOff>0</xdr:colOff>
      <xdr:row>103</xdr:row>
      <xdr:rowOff>149226</xdr:rowOff>
    </xdr:from>
    <xdr:to>
      <xdr:col>6</xdr:col>
      <xdr:colOff>38100</xdr:colOff>
      <xdr:row>107</xdr:row>
      <xdr:rowOff>36288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743325" y="19284951"/>
          <a:ext cx="800100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648075" y="19681825"/>
          <a:ext cx="990600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114</xdr:row>
      <xdr:rowOff>39240</xdr:rowOff>
    </xdr:to>
    <xdr:sp macro="" textlink="">
      <xdr:nvSpPr>
        <xdr:cNvPr id="25" name="TextBox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648075" y="20332700"/>
          <a:ext cx="9906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93</xdr:row>
      <xdr:rowOff>72638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663950" y="16906875"/>
          <a:ext cx="1362075" cy="682238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28575</xdr:rowOff>
    </xdr:to>
    <xdr:pic>
      <xdr:nvPicPr>
        <xdr:cNvPr id="27" name="Picture 27" descr="ren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16506825"/>
          <a:ext cx="561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0</xdr:rowOff>
        </xdr:from>
        <xdr:to>
          <xdr:col>13</xdr:col>
          <xdr:colOff>466725</xdr:colOff>
          <xdr:row>21</xdr:row>
          <xdr:rowOff>66675</xdr:rowOff>
        </xdr:to>
        <xdr:sp macro="" textlink="">
          <xdr:nvSpPr>
            <xdr:cNvPr id="83969" name="Lista pendente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00000000-0008-0000-0000-00000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387350</xdr:colOff>
      <xdr:row>2</xdr:row>
      <xdr:rowOff>4238</xdr:rowOff>
    </xdr:from>
    <xdr:ext cx="4512517" cy="1153970"/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73725" y="1309163"/>
          <a:ext cx="4512517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simples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horizontais (em esteira)</a:t>
          </a:r>
        </a:p>
      </xdr:txBody>
    </xdr:sp>
    <xdr:clientData/>
  </xdr:oneCellAnchor>
  <xdr:oneCellAnchor>
    <xdr:from>
      <xdr:col>9</xdr:col>
      <xdr:colOff>454025</xdr:colOff>
      <xdr:row>19</xdr:row>
      <xdr:rowOff>67024</xdr:rowOff>
    </xdr:from>
    <xdr:ext cx="1251368" cy="41678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64400" y="37436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oneCellAnchor>
    <xdr:from>
      <xdr:col>1</xdr:col>
      <xdr:colOff>454025</xdr:colOff>
      <xdr:row>11</xdr:row>
      <xdr:rowOff>152400</xdr:rowOff>
    </xdr:from>
    <xdr:ext cx="1886157" cy="44640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130300" y="2257425"/>
          <a:ext cx="1886157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oneCellAnchor>
  <xdr:oneCellAnchor>
    <xdr:from>
      <xdr:col>5</xdr:col>
      <xdr:colOff>520700</xdr:colOff>
      <xdr:row>27</xdr:row>
      <xdr:rowOff>124212</xdr:rowOff>
    </xdr:from>
    <xdr:ext cx="1109471" cy="41678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264025" y="5753487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twoCellAnchor>
    <xdr:from>
      <xdr:col>1</xdr:col>
      <xdr:colOff>171450</xdr:colOff>
      <xdr:row>29</xdr:row>
      <xdr:rowOff>50800</xdr:rowOff>
    </xdr:from>
    <xdr:to>
      <xdr:col>3</xdr:col>
      <xdr:colOff>574573</xdr:colOff>
      <xdr:row>30</xdr:row>
      <xdr:rowOff>149013</xdr:rowOff>
    </xdr:to>
    <xdr:sp macro="" textlink="">
      <xdr:nvSpPr>
        <xdr:cNvPr id="21257" name="TextBox 13">
          <a:extLst>
            <a:ext uri="{FF2B5EF4-FFF2-40B4-BE49-F238E27FC236}">
              <a16:creationId xmlns:a16="http://schemas.microsoft.com/office/drawing/2014/main" id="{00000000-0008-0000-0100-000009530000}"/>
            </a:ext>
          </a:extLst>
        </xdr:cNvPr>
        <xdr:cNvSpPr txBox="1">
          <a:spLocks noChangeArrowheads="1"/>
        </xdr:cNvSpPr>
      </xdr:nvSpPr>
      <xdr:spPr bwMode="auto">
        <a:xfrm>
          <a:off x="965200" y="6057900"/>
          <a:ext cx="2311400" cy="27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xdr:twoCellAnchor editAs="oneCell">
    <xdr:from>
      <xdr:col>1</xdr:col>
      <xdr:colOff>561975</xdr:colOff>
      <xdr:row>15</xdr:row>
      <xdr:rowOff>76200</xdr:rowOff>
    </xdr:from>
    <xdr:to>
      <xdr:col>3</xdr:col>
      <xdr:colOff>333375</xdr:colOff>
      <xdr:row>15</xdr:row>
      <xdr:rowOff>76200</xdr:rowOff>
    </xdr:to>
    <xdr:pic>
      <xdr:nvPicPr>
        <xdr:cNvPr id="50364" name="Picture 1">
          <a:extLst>
            <a:ext uri="{FF2B5EF4-FFF2-40B4-BE49-F238E27FC236}">
              <a16:creationId xmlns:a16="http://schemas.microsoft.com/office/drawing/2014/main" id="{00000000-0008-0000-0100-0000BC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0" y="29051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15</xdr:row>
      <xdr:rowOff>76200</xdr:rowOff>
    </xdr:from>
    <xdr:to>
      <xdr:col>3</xdr:col>
      <xdr:colOff>333375</xdr:colOff>
      <xdr:row>25</xdr:row>
      <xdr:rowOff>28575</xdr:rowOff>
    </xdr:to>
    <xdr:pic>
      <xdr:nvPicPr>
        <xdr:cNvPr id="50365" name="Picture 7">
          <a:extLst>
            <a:ext uri="{FF2B5EF4-FFF2-40B4-BE49-F238E27FC236}">
              <a16:creationId xmlns:a16="http://schemas.microsoft.com/office/drawing/2014/main" id="{00000000-0008-0000-0100-0000BD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2905125"/>
          <a:ext cx="1381125" cy="2266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682625</xdr:colOff>
      <xdr:row>25</xdr:row>
      <xdr:rowOff>152400</xdr:rowOff>
    </xdr:from>
    <xdr:to>
      <xdr:col>10</xdr:col>
      <xdr:colOff>187325</xdr:colOff>
      <xdr:row>27</xdr:row>
      <xdr:rowOff>101600</xdr:rowOff>
    </xdr:to>
    <xdr:sp macro="" textlink="">
      <xdr:nvSpPr>
        <xdr:cNvPr id="21260" name="TextBox 4">
          <a:extLst>
            <a:ext uri="{FF2B5EF4-FFF2-40B4-BE49-F238E27FC236}">
              <a16:creationId xmlns:a16="http://schemas.microsoft.com/office/drawing/2014/main" id="{00000000-0008-0000-0100-00000C530000}"/>
            </a:ext>
          </a:extLst>
        </xdr:cNvPr>
        <xdr:cNvSpPr txBox="1">
          <a:spLocks noChangeArrowheads="1"/>
        </xdr:cNvSpPr>
      </xdr:nvSpPr>
      <xdr:spPr bwMode="auto">
        <a:xfrm>
          <a:off x="7721600" y="5181600"/>
          <a:ext cx="118110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11</xdr:col>
      <xdr:colOff>38100</xdr:colOff>
      <xdr:row>27</xdr:row>
      <xdr:rowOff>101600</xdr:rowOff>
    </xdr:from>
    <xdr:to>
      <xdr:col>12</xdr:col>
      <xdr:colOff>50800</xdr:colOff>
      <xdr:row>29</xdr:row>
      <xdr:rowOff>37187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9601200" y="5651500"/>
          <a:ext cx="889000" cy="4308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415952</xdr:colOff>
      <xdr:row>93</xdr:row>
      <xdr:rowOff>13840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50850" y="17506950"/>
          <a:ext cx="2251102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esteira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584200</xdr:colOff>
      <xdr:row>95</xdr:row>
      <xdr:rowOff>38100</xdr:rowOff>
    </xdr:from>
    <xdr:to>
      <xdr:col>4</xdr:col>
      <xdr:colOff>511201</xdr:colOff>
      <xdr:row>96</xdr:row>
      <xdr:rowOff>145544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260475" y="18478500"/>
          <a:ext cx="2298726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161925</xdr:colOff>
      <xdr:row>123</xdr:row>
      <xdr:rowOff>101601</xdr:rowOff>
    </xdr:from>
    <xdr:to>
      <xdr:col>1</xdr:col>
      <xdr:colOff>612621</xdr:colOff>
      <xdr:row>125</xdr:row>
      <xdr:rowOff>47120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61925" y="23075901"/>
          <a:ext cx="112697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2550" y="21802725"/>
          <a:ext cx="149542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15875</xdr:colOff>
      <xdr:row>98</xdr:row>
      <xdr:rowOff>85725</xdr:rowOff>
    </xdr:from>
    <xdr:to>
      <xdr:col>1</xdr:col>
      <xdr:colOff>822177</xdr:colOff>
      <xdr:row>102</xdr:row>
      <xdr:rowOff>31842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92150" y="19011900"/>
          <a:ext cx="806302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66675</xdr:colOff>
      <xdr:row>102</xdr:row>
      <xdr:rowOff>98425</xdr:rowOff>
    </xdr:from>
    <xdr:to>
      <xdr:col>1</xdr:col>
      <xdr:colOff>771525</xdr:colOff>
      <xdr:row>106</xdr:row>
      <xdr:rowOff>44542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42950" y="19672300"/>
          <a:ext cx="704850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517525</xdr:colOff>
      <xdr:row>109</xdr:row>
      <xdr:rowOff>149225</xdr:rowOff>
    </xdr:from>
    <xdr:to>
      <xdr:col>2</xdr:col>
      <xdr:colOff>50800</xdr:colOff>
      <xdr:row>113</xdr:row>
      <xdr:rowOff>80530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517525" y="20856575"/>
          <a:ext cx="105727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2</xdr:col>
      <xdr:colOff>574675</xdr:colOff>
      <xdr:row>106</xdr:row>
      <xdr:rowOff>85725</xdr:rowOff>
    </xdr:from>
    <xdr:to>
      <xdr:col>4</xdr:col>
      <xdr:colOff>199859</xdr:colOff>
      <xdr:row>110</xdr:row>
      <xdr:rowOff>31842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098675" y="20307300"/>
          <a:ext cx="114918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condutores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0</xdr:colOff>
      <xdr:row>98</xdr:row>
      <xdr:rowOff>98425</xdr:rowOff>
    </xdr:from>
    <xdr:to>
      <xdr:col>6</xdr:col>
      <xdr:colOff>612588</xdr:colOff>
      <xdr:row>100</xdr:row>
      <xdr:rowOff>29132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743325" y="19024600"/>
          <a:ext cx="1374588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803400" y="24717375"/>
          <a:ext cx="231457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146014</xdr:colOff>
      <xdr:row>131</xdr:row>
      <xdr:rowOff>76136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0" y="23958550"/>
          <a:ext cx="1670014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LAeq LT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previsto </a:t>
          </a:r>
        </a:p>
      </xdr:txBody>
    </xdr:sp>
    <xdr:clientData/>
  </xdr:twoCellAnchor>
  <xdr:twoCellAnchor>
    <xdr:from>
      <xdr:col>5</xdr:col>
      <xdr:colOff>212725</xdr:colOff>
      <xdr:row>102</xdr:row>
      <xdr:rowOff>0</xdr:rowOff>
    </xdr:from>
    <xdr:to>
      <xdr:col>6</xdr:col>
      <xdr:colOff>504935</xdr:colOff>
      <xdr:row>103</xdr:row>
      <xdr:rowOff>107444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3956050" y="19573875"/>
          <a:ext cx="10542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5</xdr:col>
      <xdr:colOff>0</xdr:colOff>
      <xdr:row>103</xdr:row>
      <xdr:rowOff>149226</xdr:rowOff>
    </xdr:from>
    <xdr:to>
      <xdr:col>6</xdr:col>
      <xdr:colOff>38100</xdr:colOff>
      <xdr:row>107</xdr:row>
      <xdr:rowOff>36288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3743325" y="19885026"/>
          <a:ext cx="800100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3648075" y="20281900"/>
          <a:ext cx="990600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114</xdr:row>
      <xdr:rowOff>39240</xdr:rowOff>
    </xdr:to>
    <xdr:sp macro="" textlink="">
      <xdr:nvSpPr>
        <xdr:cNvPr id="25" name="TextBox 1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648075" y="20932775"/>
          <a:ext cx="990600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93</xdr:row>
      <xdr:rowOff>72638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3663950" y="17506950"/>
          <a:ext cx="1362075" cy="682238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28575</xdr:rowOff>
    </xdr:to>
    <xdr:pic>
      <xdr:nvPicPr>
        <xdr:cNvPr id="50384" name="Picture 27" descr="ren.png">
          <a:extLst>
            <a:ext uri="{FF2B5EF4-FFF2-40B4-BE49-F238E27FC236}">
              <a16:creationId xmlns:a16="http://schemas.microsoft.com/office/drawing/2014/main" id="{00000000-0008-0000-0100-0000D0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17106900"/>
          <a:ext cx="5619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0</xdr:rowOff>
        </xdr:from>
        <xdr:to>
          <xdr:col>13</xdr:col>
          <xdr:colOff>466725</xdr:colOff>
          <xdr:row>21</xdr:row>
          <xdr:rowOff>66675</xdr:rowOff>
        </xdr:to>
        <xdr:sp macro="" textlink="">
          <xdr:nvSpPr>
            <xdr:cNvPr id="14337" name="Lista pendente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11</xdr:row>
      <xdr:rowOff>314325</xdr:rowOff>
    </xdr:from>
    <xdr:to>
      <xdr:col>3</xdr:col>
      <xdr:colOff>523875</xdr:colOff>
      <xdr:row>22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62225"/>
          <a:ext cx="1438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454025</xdr:colOff>
      <xdr:row>1</xdr:row>
      <xdr:rowOff>143926</xdr:rowOff>
    </xdr:from>
    <xdr:to>
      <xdr:col>13</xdr:col>
      <xdr:colOff>41853</xdr:colOff>
      <xdr:row>7</xdr:row>
      <xdr:rowOff>2496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692775" y="305851"/>
          <a:ext cx="4150303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duplo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verticais</a:t>
          </a:r>
        </a:p>
      </xdr:txBody>
    </xdr:sp>
    <xdr:clientData/>
  </xdr:twoCellAnchor>
  <xdr:oneCellAnchor>
    <xdr:from>
      <xdr:col>6</xdr:col>
      <xdr:colOff>479425</xdr:colOff>
      <xdr:row>31</xdr:row>
      <xdr:rowOff>66830</xdr:rowOff>
    </xdr:from>
    <xdr:ext cx="1109471" cy="416781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4965700" y="7096280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oneCellAnchor>
    <xdr:from>
      <xdr:col>10</xdr:col>
      <xdr:colOff>241300</xdr:colOff>
      <xdr:row>20</xdr:row>
      <xdr:rowOff>105124</xdr:rowOff>
    </xdr:from>
    <xdr:ext cx="1251368" cy="416781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756525" y="46199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twoCellAnchor>
    <xdr:from>
      <xdr:col>1</xdr:col>
      <xdr:colOff>549275</xdr:colOff>
      <xdr:row>26</xdr:row>
      <xdr:rowOff>76200</xdr:rowOff>
    </xdr:from>
    <xdr:to>
      <xdr:col>3</xdr:col>
      <xdr:colOff>644525</xdr:colOff>
      <xdr:row>29</xdr:row>
      <xdr:rowOff>25400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1130300" y="6067425"/>
          <a:ext cx="1714500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twoCellAnchor>
  <xdr:twoCellAnchor>
    <xdr:from>
      <xdr:col>12</xdr:col>
      <xdr:colOff>53975</xdr:colOff>
      <xdr:row>30</xdr:row>
      <xdr:rowOff>160891</xdr:rowOff>
    </xdr:from>
    <xdr:to>
      <xdr:col>12</xdr:col>
      <xdr:colOff>695064</xdr:colOff>
      <xdr:row>33</xdr:row>
      <xdr:rowOff>101721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9093200" y="7028416"/>
          <a:ext cx="64108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9</xdr:col>
      <xdr:colOff>628650</xdr:colOff>
      <xdr:row>28</xdr:row>
      <xdr:rowOff>177800</xdr:rowOff>
    </xdr:from>
    <xdr:to>
      <xdr:col>11</xdr:col>
      <xdr:colOff>133350</xdr:colOff>
      <xdr:row>31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381875" y="6569075"/>
          <a:ext cx="1028700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415953</xdr:colOff>
      <xdr:row>93</xdr:row>
      <xdr:rowOff>13840</xdr:rowOff>
    </xdr:to>
    <xdr:sp macro="" textlink="">
      <xdr:nvSpPr>
        <xdr:cNvPr id="9" name="TextBox 1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450850" y="17564100"/>
          <a:ext cx="2165378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bandeira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66675</xdr:colOff>
      <xdr:row>95</xdr:row>
      <xdr:rowOff>38100</xdr:rowOff>
    </xdr:from>
    <xdr:to>
      <xdr:col>4</xdr:col>
      <xdr:colOff>12713</xdr:colOff>
      <xdr:row>96</xdr:row>
      <xdr:rowOff>145544</xdr:rowOff>
    </xdr:to>
    <xdr:sp macro="" textlink="">
      <xdr:nvSpPr>
        <xdr:cNvPr id="10" name="Text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47700" y="18535650"/>
          <a:ext cx="23272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123</xdr:row>
      <xdr:rowOff>101601</xdr:rowOff>
    </xdr:from>
    <xdr:to>
      <xdr:col>1</xdr:col>
      <xdr:colOff>612580</xdr:colOff>
      <xdr:row>125</xdr:row>
      <xdr:rowOff>47120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71450" y="23142576"/>
          <a:ext cx="102215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2550" y="21859875"/>
          <a:ext cx="14097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0</xdr:colOff>
      <xdr:row>99</xdr:row>
      <xdr:rowOff>60325</xdr:rowOff>
    </xdr:from>
    <xdr:to>
      <xdr:col>2</xdr:col>
      <xdr:colOff>117444</xdr:colOff>
      <xdr:row>103</xdr:row>
      <xdr:rowOff>6442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581025" y="19205575"/>
          <a:ext cx="97469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103</xdr:row>
      <xdr:rowOff>101600</xdr:rowOff>
    </xdr:from>
    <xdr:to>
      <xdr:col>2</xdr:col>
      <xdr:colOff>117444</xdr:colOff>
      <xdr:row>106</xdr:row>
      <xdr:rowOff>47418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581025" y="19894550"/>
          <a:ext cx="974694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571500</xdr:colOff>
      <xdr:row>110</xdr:row>
      <xdr:rowOff>63500</xdr:rowOff>
    </xdr:from>
    <xdr:to>
      <xdr:col>2</xdr:col>
      <xdr:colOff>95250</xdr:colOff>
      <xdr:row>113</xdr:row>
      <xdr:rowOff>156730</xdr:rowOff>
    </xdr:to>
    <xdr:sp macro="" textlink="">
      <xdr:nvSpPr>
        <xdr:cNvPr id="15" name="TextBox 1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571500" y="20989925"/>
          <a:ext cx="9620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0</xdr:col>
      <xdr:colOff>346075</xdr:colOff>
      <xdr:row>106</xdr:row>
      <xdr:rowOff>149225</xdr:rowOff>
    </xdr:from>
    <xdr:to>
      <xdr:col>2</xdr:col>
      <xdr:colOff>149127</xdr:colOff>
      <xdr:row>109</xdr:row>
      <xdr:rowOff>95043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46075" y="20427950"/>
          <a:ext cx="1241327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723900</xdr:colOff>
      <xdr:row>98</xdr:row>
      <xdr:rowOff>98425</xdr:rowOff>
    </xdr:from>
    <xdr:to>
      <xdr:col>6</xdr:col>
      <xdr:colOff>612671</xdr:colOff>
      <xdr:row>100</xdr:row>
      <xdr:rowOff>29132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3686175" y="19081750"/>
          <a:ext cx="141277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1717675" y="24784050"/>
          <a:ext cx="23812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146012</xdr:colOff>
      <xdr:row>131</xdr:row>
      <xdr:rowOff>76136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0" y="24025225"/>
          <a:ext cx="1584287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 LAeq LT previsto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146050</xdr:colOff>
      <xdr:row>102</xdr:row>
      <xdr:rowOff>0</xdr:rowOff>
    </xdr:from>
    <xdr:to>
      <xdr:col>6</xdr:col>
      <xdr:colOff>428763</xdr:colOff>
      <xdr:row>103</xdr:row>
      <xdr:rowOff>107444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3870325" y="19631025"/>
          <a:ext cx="104471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4</xdr:col>
      <xdr:colOff>723900</xdr:colOff>
      <xdr:row>103</xdr:row>
      <xdr:rowOff>149226</xdr:rowOff>
    </xdr:from>
    <xdr:to>
      <xdr:col>6</xdr:col>
      <xdr:colOff>28575</xdr:colOff>
      <xdr:row>107</xdr:row>
      <xdr:rowOff>36288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3686175" y="19942176"/>
          <a:ext cx="828675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562350" y="20339050"/>
          <a:ext cx="1057275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113</xdr:row>
      <xdr:rowOff>24129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562350" y="20989925"/>
          <a:ext cx="10572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92</xdr:row>
      <xdr:rowOff>87087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578225" y="17564100"/>
          <a:ext cx="1428750" cy="534762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38100</xdr:rowOff>
    </xdr:to>
    <xdr:pic>
      <xdr:nvPicPr>
        <xdr:cNvPr id="25" name="Picture 27" descr="ren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17164050"/>
          <a:ext cx="561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349250</xdr:colOff>
      <xdr:row>33</xdr:row>
      <xdr:rowOff>0</xdr:rowOff>
    </xdr:from>
    <xdr:to>
      <xdr:col>3</xdr:col>
      <xdr:colOff>600027</xdr:colOff>
      <xdr:row>34</xdr:row>
      <xdr:rowOff>101600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930275" y="7505700"/>
          <a:ext cx="187002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21</xdr:row>
          <xdr:rowOff>28575</xdr:rowOff>
        </xdr:from>
        <xdr:to>
          <xdr:col>14</xdr:col>
          <xdr:colOff>238125</xdr:colOff>
          <xdr:row>22</xdr:row>
          <xdr:rowOff>104775</xdr:rowOff>
        </xdr:to>
        <xdr:sp macro="" textlink="">
          <xdr:nvSpPr>
            <xdr:cNvPr id="87041" name="Lista pendente 288" hidden="1">
              <a:extLst>
                <a:ext uri="{63B3BB69-23CF-44E3-9099-C40C66FF867C}">
                  <a14:compatExt spid="_x0000_s87041"/>
                </a:ext>
                <a:ext uri="{FF2B5EF4-FFF2-40B4-BE49-F238E27FC236}">
                  <a16:creationId xmlns:a16="http://schemas.microsoft.com/office/drawing/2014/main" id="{00000000-0008-0000-0200-0000015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11</xdr:row>
      <xdr:rowOff>314325</xdr:rowOff>
    </xdr:from>
    <xdr:to>
      <xdr:col>3</xdr:col>
      <xdr:colOff>523875</xdr:colOff>
      <xdr:row>22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62225"/>
          <a:ext cx="1438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454025</xdr:colOff>
      <xdr:row>1</xdr:row>
      <xdr:rowOff>143926</xdr:rowOff>
    </xdr:from>
    <xdr:to>
      <xdr:col>13</xdr:col>
      <xdr:colOff>41853</xdr:colOff>
      <xdr:row>7</xdr:row>
      <xdr:rowOff>2496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692775" y="305851"/>
          <a:ext cx="4150303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duplo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verticais</a:t>
          </a:r>
        </a:p>
      </xdr:txBody>
    </xdr:sp>
    <xdr:clientData/>
  </xdr:twoCellAnchor>
  <xdr:oneCellAnchor>
    <xdr:from>
      <xdr:col>6</xdr:col>
      <xdr:colOff>479425</xdr:colOff>
      <xdr:row>31</xdr:row>
      <xdr:rowOff>66830</xdr:rowOff>
    </xdr:from>
    <xdr:ext cx="1109471" cy="416781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965700" y="7096280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oneCellAnchor>
    <xdr:from>
      <xdr:col>10</xdr:col>
      <xdr:colOff>241300</xdr:colOff>
      <xdr:row>20</xdr:row>
      <xdr:rowOff>105124</xdr:rowOff>
    </xdr:from>
    <xdr:ext cx="1251368" cy="416781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756525" y="46199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twoCellAnchor>
    <xdr:from>
      <xdr:col>1</xdr:col>
      <xdr:colOff>549275</xdr:colOff>
      <xdr:row>26</xdr:row>
      <xdr:rowOff>76200</xdr:rowOff>
    </xdr:from>
    <xdr:to>
      <xdr:col>3</xdr:col>
      <xdr:colOff>644525</xdr:colOff>
      <xdr:row>29</xdr:row>
      <xdr:rowOff>25400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1130300" y="6067425"/>
          <a:ext cx="1714500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twoCellAnchor>
  <xdr:twoCellAnchor>
    <xdr:from>
      <xdr:col>12</xdr:col>
      <xdr:colOff>53975</xdr:colOff>
      <xdr:row>30</xdr:row>
      <xdr:rowOff>160891</xdr:rowOff>
    </xdr:from>
    <xdr:to>
      <xdr:col>12</xdr:col>
      <xdr:colOff>695064</xdr:colOff>
      <xdr:row>33</xdr:row>
      <xdr:rowOff>101721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9093200" y="7028416"/>
          <a:ext cx="64108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9</xdr:col>
      <xdr:colOff>628650</xdr:colOff>
      <xdr:row>28</xdr:row>
      <xdr:rowOff>177800</xdr:rowOff>
    </xdr:from>
    <xdr:to>
      <xdr:col>11</xdr:col>
      <xdr:colOff>133350</xdr:colOff>
      <xdr:row>31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7381875" y="6569075"/>
          <a:ext cx="1028700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415953</xdr:colOff>
      <xdr:row>93</xdr:row>
      <xdr:rowOff>13840</xdr:rowOff>
    </xdr:to>
    <xdr:sp macro="" textlink="">
      <xdr:nvSpPr>
        <xdr:cNvPr id="9" name="TextBox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450850" y="17564100"/>
          <a:ext cx="2165378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bandeira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66675</xdr:colOff>
      <xdr:row>95</xdr:row>
      <xdr:rowOff>38100</xdr:rowOff>
    </xdr:from>
    <xdr:to>
      <xdr:col>4</xdr:col>
      <xdr:colOff>12713</xdr:colOff>
      <xdr:row>96</xdr:row>
      <xdr:rowOff>145544</xdr:rowOff>
    </xdr:to>
    <xdr:sp macro="" textlink="">
      <xdr:nvSpPr>
        <xdr:cNvPr id="10" name="TextBox 1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47700" y="18535650"/>
          <a:ext cx="23272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123</xdr:row>
      <xdr:rowOff>101601</xdr:rowOff>
    </xdr:from>
    <xdr:to>
      <xdr:col>1</xdr:col>
      <xdr:colOff>612580</xdr:colOff>
      <xdr:row>125</xdr:row>
      <xdr:rowOff>47120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71450" y="23142576"/>
          <a:ext cx="102215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82550" y="21859875"/>
          <a:ext cx="14097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0</xdr:colOff>
      <xdr:row>99</xdr:row>
      <xdr:rowOff>60325</xdr:rowOff>
    </xdr:from>
    <xdr:to>
      <xdr:col>2</xdr:col>
      <xdr:colOff>117444</xdr:colOff>
      <xdr:row>103</xdr:row>
      <xdr:rowOff>6442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581025" y="19205575"/>
          <a:ext cx="97469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103</xdr:row>
      <xdr:rowOff>101600</xdr:rowOff>
    </xdr:from>
    <xdr:to>
      <xdr:col>2</xdr:col>
      <xdr:colOff>117444</xdr:colOff>
      <xdr:row>106</xdr:row>
      <xdr:rowOff>47418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81025" y="19894550"/>
          <a:ext cx="974694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571500</xdr:colOff>
      <xdr:row>110</xdr:row>
      <xdr:rowOff>63500</xdr:rowOff>
    </xdr:from>
    <xdr:to>
      <xdr:col>2</xdr:col>
      <xdr:colOff>95250</xdr:colOff>
      <xdr:row>113</xdr:row>
      <xdr:rowOff>156730</xdr:rowOff>
    </xdr:to>
    <xdr:sp macro="" textlink="">
      <xdr:nvSpPr>
        <xdr:cNvPr id="15" name="TextBox 1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71500" y="20989925"/>
          <a:ext cx="9620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0</xdr:col>
      <xdr:colOff>346075</xdr:colOff>
      <xdr:row>106</xdr:row>
      <xdr:rowOff>149225</xdr:rowOff>
    </xdr:from>
    <xdr:to>
      <xdr:col>2</xdr:col>
      <xdr:colOff>149127</xdr:colOff>
      <xdr:row>109</xdr:row>
      <xdr:rowOff>95043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346075" y="20427950"/>
          <a:ext cx="1241327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723900</xdr:colOff>
      <xdr:row>98</xdr:row>
      <xdr:rowOff>98425</xdr:rowOff>
    </xdr:from>
    <xdr:to>
      <xdr:col>6</xdr:col>
      <xdr:colOff>612671</xdr:colOff>
      <xdr:row>100</xdr:row>
      <xdr:rowOff>29132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3686175" y="19081750"/>
          <a:ext cx="141277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717675" y="24784050"/>
          <a:ext cx="23812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146012</xdr:colOff>
      <xdr:row>131</xdr:row>
      <xdr:rowOff>76136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0" y="24025225"/>
          <a:ext cx="1584287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 LAeq LT previsto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146050</xdr:colOff>
      <xdr:row>102</xdr:row>
      <xdr:rowOff>0</xdr:rowOff>
    </xdr:from>
    <xdr:to>
      <xdr:col>6</xdr:col>
      <xdr:colOff>428763</xdr:colOff>
      <xdr:row>103</xdr:row>
      <xdr:rowOff>107444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3870325" y="19631025"/>
          <a:ext cx="104471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4</xdr:col>
      <xdr:colOff>723900</xdr:colOff>
      <xdr:row>103</xdr:row>
      <xdr:rowOff>149226</xdr:rowOff>
    </xdr:from>
    <xdr:to>
      <xdr:col>6</xdr:col>
      <xdr:colOff>28575</xdr:colOff>
      <xdr:row>107</xdr:row>
      <xdr:rowOff>36288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3686175" y="19942176"/>
          <a:ext cx="828675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3562350" y="20339050"/>
          <a:ext cx="1057275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113</xdr:row>
      <xdr:rowOff>24129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3562350" y="20989925"/>
          <a:ext cx="10572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92</xdr:row>
      <xdr:rowOff>87087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3578225" y="17564100"/>
          <a:ext cx="1428750" cy="534762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38100</xdr:rowOff>
    </xdr:to>
    <xdr:pic>
      <xdr:nvPicPr>
        <xdr:cNvPr id="25" name="Picture 27" descr="ren.png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17164050"/>
          <a:ext cx="561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349250</xdr:colOff>
      <xdr:row>33</xdr:row>
      <xdr:rowOff>0</xdr:rowOff>
    </xdr:from>
    <xdr:to>
      <xdr:col>3</xdr:col>
      <xdr:colOff>600027</xdr:colOff>
      <xdr:row>34</xdr:row>
      <xdr:rowOff>101600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930275" y="7505700"/>
          <a:ext cx="187002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21</xdr:row>
          <xdr:rowOff>28575</xdr:rowOff>
        </xdr:from>
        <xdr:to>
          <xdr:col>14</xdr:col>
          <xdr:colOff>238125</xdr:colOff>
          <xdr:row>22</xdr:row>
          <xdr:rowOff>104775</xdr:rowOff>
        </xdr:to>
        <xdr:sp macro="" textlink="">
          <xdr:nvSpPr>
            <xdr:cNvPr id="88065" name="Lista pendente 288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3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11</xdr:row>
      <xdr:rowOff>314325</xdr:rowOff>
    </xdr:from>
    <xdr:to>
      <xdr:col>3</xdr:col>
      <xdr:colOff>523875</xdr:colOff>
      <xdr:row>22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62225"/>
          <a:ext cx="1438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454025</xdr:colOff>
      <xdr:row>1</xdr:row>
      <xdr:rowOff>143926</xdr:rowOff>
    </xdr:from>
    <xdr:to>
      <xdr:col>13</xdr:col>
      <xdr:colOff>41853</xdr:colOff>
      <xdr:row>7</xdr:row>
      <xdr:rowOff>2496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692775" y="305851"/>
          <a:ext cx="4150303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duplo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verticais</a:t>
          </a:r>
        </a:p>
      </xdr:txBody>
    </xdr:sp>
    <xdr:clientData/>
  </xdr:twoCellAnchor>
  <xdr:oneCellAnchor>
    <xdr:from>
      <xdr:col>6</xdr:col>
      <xdr:colOff>479425</xdr:colOff>
      <xdr:row>31</xdr:row>
      <xdr:rowOff>66830</xdr:rowOff>
    </xdr:from>
    <xdr:ext cx="1109471" cy="416781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65700" y="7096280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oneCellAnchor>
    <xdr:from>
      <xdr:col>10</xdr:col>
      <xdr:colOff>241300</xdr:colOff>
      <xdr:row>20</xdr:row>
      <xdr:rowOff>105124</xdr:rowOff>
    </xdr:from>
    <xdr:ext cx="1251368" cy="416781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6525" y="46199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twoCellAnchor>
    <xdr:from>
      <xdr:col>1</xdr:col>
      <xdr:colOff>549275</xdr:colOff>
      <xdr:row>26</xdr:row>
      <xdr:rowOff>76200</xdr:rowOff>
    </xdr:from>
    <xdr:to>
      <xdr:col>3</xdr:col>
      <xdr:colOff>644525</xdr:colOff>
      <xdr:row>29</xdr:row>
      <xdr:rowOff>25400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130300" y="6067425"/>
          <a:ext cx="1714500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twoCellAnchor>
  <xdr:twoCellAnchor>
    <xdr:from>
      <xdr:col>12</xdr:col>
      <xdr:colOff>53975</xdr:colOff>
      <xdr:row>30</xdr:row>
      <xdr:rowOff>160891</xdr:rowOff>
    </xdr:from>
    <xdr:to>
      <xdr:col>12</xdr:col>
      <xdr:colOff>695064</xdr:colOff>
      <xdr:row>33</xdr:row>
      <xdr:rowOff>101721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9093200" y="7028416"/>
          <a:ext cx="64108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9</xdr:col>
      <xdr:colOff>628650</xdr:colOff>
      <xdr:row>28</xdr:row>
      <xdr:rowOff>177800</xdr:rowOff>
    </xdr:from>
    <xdr:to>
      <xdr:col>11</xdr:col>
      <xdr:colOff>133350</xdr:colOff>
      <xdr:row>31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7381875" y="6569075"/>
          <a:ext cx="1028700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415953</xdr:colOff>
      <xdr:row>93</xdr:row>
      <xdr:rowOff>13840</xdr:rowOff>
    </xdr:to>
    <xdr:sp macro="" textlink="">
      <xdr:nvSpPr>
        <xdr:cNvPr id="9" name="TextBox 1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50850" y="17564100"/>
          <a:ext cx="2165378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bandeira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66675</xdr:colOff>
      <xdr:row>95</xdr:row>
      <xdr:rowOff>38100</xdr:rowOff>
    </xdr:from>
    <xdr:to>
      <xdr:col>4</xdr:col>
      <xdr:colOff>12713</xdr:colOff>
      <xdr:row>96</xdr:row>
      <xdr:rowOff>145544</xdr:rowOff>
    </xdr:to>
    <xdr:sp macro="" textlink="">
      <xdr:nvSpPr>
        <xdr:cNvPr id="10" name="Text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647700" y="18535650"/>
          <a:ext cx="23272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123</xdr:row>
      <xdr:rowOff>101601</xdr:rowOff>
    </xdr:from>
    <xdr:to>
      <xdr:col>1</xdr:col>
      <xdr:colOff>612580</xdr:colOff>
      <xdr:row>125</xdr:row>
      <xdr:rowOff>47120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171450" y="23142576"/>
          <a:ext cx="102215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82550" y="21859875"/>
          <a:ext cx="14097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0</xdr:colOff>
      <xdr:row>99</xdr:row>
      <xdr:rowOff>60325</xdr:rowOff>
    </xdr:from>
    <xdr:to>
      <xdr:col>2</xdr:col>
      <xdr:colOff>117444</xdr:colOff>
      <xdr:row>103</xdr:row>
      <xdr:rowOff>6442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81025" y="19205575"/>
          <a:ext cx="97469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103</xdr:row>
      <xdr:rowOff>101600</xdr:rowOff>
    </xdr:from>
    <xdr:to>
      <xdr:col>2</xdr:col>
      <xdr:colOff>117444</xdr:colOff>
      <xdr:row>106</xdr:row>
      <xdr:rowOff>47418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581025" y="19894550"/>
          <a:ext cx="974694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571500</xdr:colOff>
      <xdr:row>110</xdr:row>
      <xdr:rowOff>63500</xdr:rowOff>
    </xdr:from>
    <xdr:to>
      <xdr:col>2</xdr:col>
      <xdr:colOff>95250</xdr:colOff>
      <xdr:row>113</xdr:row>
      <xdr:rowOff>156730</xdr:rowOff>
    </xdr:to>
    <xdr:sp macro="" textlink="">
      <xdr:nvSpPr>
        <xdr:cNvPr id="15" name="TextBox 1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571500" y="20989925"/>
          <a:ext cx="9620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0</xdr:col>
      <xdr:colOff>346075</xdr:colOff>
      <xdr:row>106</xdr:row>
      <xdr:rowOff>149225</xdr:rowOff>
    </xdr:from>
    <xdr:to>
      <xdr:col>2</xdr:col>
      <xdr:colOff>149127</xdr:colOff>
      <xdr:row>109</xdr:row>
      <xdr:rowOff>95043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346075" y="20427950"/>
          <a:ext cx="1241327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723900</xdr:colOff>
      <xdr:row>98</xdr:row>
      <xdr:rowOff>98425</xdr:rowOff>
    </xdr:from>
    <xdr:to>
      <xdr:col>6</xdr:col>
      <xdr:colOff>612671</xdr:colOff>
      <xdr:row>100</xdr:row>
      <xdr:rowOff>29132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3686175" y="19081750"/>
          <a:ext cx="141277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/>
      </xdr:nvSpPr>
      <xdr:spPr>
        <a:xfrm>
          <a:off x="1717675" y="24784050"/>
          <a:ext cx="23812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146012</xdr:colOff>
      <xdr:row>131</xdr:row>
      <xdr:rowOff>76136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0" y="24025225"/>
          <a:ext cx="1584287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 LAeq LT previsto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146050</xdr:colOff>
      <xdr:row>102</xdr:row>
      <xdr:rowOff>0</xdr:rowOff>
    </xdr:from>
    <xdr:to>
      <xdr:col>6</xdr:col>
      <xdr:colOff>428763</xdr:colOff>
      <xdr:row>103</xdr:row>
      <xdr:rowOff>107444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3870325" y="19631025"/>
          <a:ext cx="104471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4</xdr:col>
      <xdr:colOff>723900</xdr:colOff>
      <xdr:row>103</xdr:row>
      <xdr:rowOff>149226</xdr:rowOff>
    </xdr:from>
    <xdr:to>
      <xdr:col>6</xdr:col>
      <xdr:colOff>28575</xdr:colOff>
      <xdr:row>107</xdr:row>
      <xdr:rowOff>36288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3686175" y="19942176"/>
          <a:ext cx="828675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3562350" y="20339050"/>
          <a:ext cx="1057275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113</xdr:row>
      <xdr:rowOff>24129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3562350" y="20989925"/>
          <a:ext cx="10572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92</xdr:row>
      <xdr:rowOff>87087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3578225" y="17564100"/>
          <a:ext cx="1428750" cy="534762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38100</xdr:rowOff>
    </xdr:to>
    <xdr:pic>
      <xdr:nvPicPr>
        <xdr:cNvPr id="25" name="Picture 27" descr="ren.png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17164050"/>
          <a:ext cx="561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349250</xdr:colOff>
      <xdr:row>33</xdr:row>
      <xdr:rowOff>0</xdr:rowOff>
    </xdr:from>
    <xdr:to>
      <xdr:col>3</xdr:col>
      <xdr:colOff>600027</xdr:colOff>
      <xdr:row>34</xdr:row>
      <xdr:rowOff>101600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930275" y="7505700"/>
          <a:ext cx="187002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21</xdr:row>
          <xdr:rowOff>28575</xdr:rowOff>
        </xdr:from>
        <xdr:to>
          <xdr:col>14</xdr:col>
          <xdr:colOff>238125</xdr:colOff>
          <xdr:row>22</xdr:row>
          <xdr:rowOff>104775</xdr:rowOff>
        </xdr:to>
        <xdr:sp macro="" textlink="">
          <xdr:nvSpPr>
            <xdr:cNvPr id="89089" name="Lista pendente 288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400-0000015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11</xdr:row>
      <xdr:rowOff>314325</xdr:rowOff>
    </xdr:from>
    <xdr:to>
      <xdr:col>3</xdr:col>
      <xdr:colOff>523875</xdr:colOff>
      <xdr:row>22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62225"/>
          <a:ext cx="1438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454025</xdr:colOff>
      <xdr:row>1</xdr:row>
      <xdr:rowOff>143926</xdr:rowOff>
    </xdr:from>
    <xdr:to>
      <xdr:col>13</xdr:col>
      <xdr:colOff>41853</xdr:colOff>
      <xdr:row>7</xdr:row>
      <xdr:rowOff>2496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692775" y="305851"/>
          <a:ext cx="4150303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duplo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verticais</a:t>
          </a:r>
        </a:p>
      </xdr:txBody>
    </xdr:sp>
    <xdr:clientData/>
  </xdr:twoCellAnchor>
  <xdr:oneCellAnchor>
    <xdr:from>
      <xdr:col>6</xdr:col>
      <xdr:colOff>479425</xdr:colOff>
      <xdr:row>31</xdr:row>
      <xdr:rowOff>66830</xdr:rowOff>
    </xdr:from>
    <xdr:ext cx="1109471" cy="416781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4965700" y="7096280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oneCellAnchor>
    <xdr:from>
      <xdr:col>10</xdr:col>
      <xdr:colOff>241300</xdr:colOff>
      <xdr:row>20</xdr:row>
      <xdr:rowOff>105124</xdr:rowOff>
    </xdr:from>
    <xdr:ext cx="1251368" cy="416781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756525" y="46199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twoCellAnchor>
    <xdr:from>
      <xdr:col>1</xdr:col>
      <xdr:colOff>549275</xdr:colOff>
      <xdr:row>26</xdr:row>
      <xdr:rowOff>76200</xdr:rowOff>
    </xdr:from>
    <xdr:to>
      <xdr:col>3</xdr:col>
      <xdr:colOff>644525</xdr:colOff>
      <xdr:row>29</xdr:row>
      <xdr:rowOff>25400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1130300" y="6067425"/>
          <a:ext cx="1714500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twoCellAnchor>
  <xdr:twoCellAnchor>
    <xdr:from>
      <xdr:col>12</xdr:col>
      <xdr:colOff>53975</xdr:colOff>
      <xdr:row>30</xdr:row>
      <xdr:rowOff>160891</xdr:rowOff>
    </xdr:from>
    <xdr:to>
      <xdr:col>12</xdr:col>
      <xdr:colOff>695064</xdr:colOff>
      <xdr:row>33</xdr:row>
      <xdr:rowOff>101721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9093200" y="7028416"/>
          <a:ext cx="64108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9</xdr:col>
      <xdr:colOff>628650</xdr:colOff>
      <xdr:row>28</xdr:row>
      <xdr:rowOff>177800</xdr:rowOff>
    </xdr:from>
    <xdr:to>
      <xdr:col>11</xdr:col>
      <xdr:colOff>133350</xdr:colOff>
      <xdr:row>31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7381875" y="6569075"/>
          <a:ext cx="1028700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415953</xdr:colOff>
      <xdr:row>93</xdr:row>
      <xdr:rowOff>13840</xdr:rowOff>
    </xdr:to>
    <xdr:sp macro="" textlink="">
      <xdr:nvSpPr>
        <xdr:cNvPr id="9" name="TextBox 1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450850" y="17564100"/>
          <a:ext cx="2165378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bandeira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66675</xdr:colOff>
      <xdr:row>95</xdr:row>
      <xdr:rowOff>38100</xdr:rowOff>
    </xdr:from>
    <xdr:to>
      <xdr:col>4</xdr:col>
      <xdr:colOff>12713</xdr:colOff>
      <xdr:row>96</xdr:row>
      <xdr:rowOff>145544</xdr:rowOff>
    </xdr:to>
    <xdr:sp macro="" textlink="">
      <xdr:nvSpPr>
        <xdr:cNvPr id="10" name="TextBox 13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647700" y="18535650"/>
          <a:ext cx="23272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123</xdr:row>
      <xdr:rowOff>101601</xdr:rowOff>
    </xdr:from>
    <xdr:to>
      <xdr:col>1</xdr:col>
      <xdr:colOff>612580</xdr:colOff>
      <xdr:row>125</xdr:row>
      <xdr:rowOff>47120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171450" y="23142576"/>
          <a:ext cx="102215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82550" y="21859875"/>
          <a:ext cx="14097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0</xdr:colOff>
      <xdr:row>99</xdr:row>
      <xdr:rowOff>60325</xdr:rowOff>
    </xdr:from>
    <xdr:to>
      <xdr:col>2</xdr:col>
      <xdr:colOff>117444</xdr:colOff>
      <xdr:row>103</xdr:row>
      <xdr:rowOff>6442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581025" y="19205575"/>
          <a:ext cx="97469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103</xdr:row>
      <xdr:rowOff>101600</xdr:rowOff>
    </xdr:from>
    <xdr:to>
      <xdr:col>2</xdr:col>
      <xdr:colOff>117444</xdr:colOff>
      <xdr:row>106</xdr:row>
      <xdr:rowOff>47418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/>
      </xdr:nvSpPr>
      <xdr:spPr>
        <a:xfrm>
          <a:off x="581025" y="19894550"/>
          <a:ext cx="974694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571500</xdr:colOff>
      <xdr:row>110</xdr:row>
      <xdr:rowOff>63500</xdr:rowOff>
    </xdr:from>
    <xdr:to>
      <xdr:col>2</xdr:col>
      <xdr:colOff>95250</xdr:colOff>
      <xdr:row>113</xdr:row>
      <xdr:rowOff>156730</xdr:rowOff>
    </xdr:to>
    <xdr:sp macro="" textlink="">
      <xdr:nvSpPr>
        <xdr:cNvPr id="15" name="TextBox 13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 txBox="1"/>
      </xdr:nvSpPr>
      <xdr:spPr>
        <a:xfrm>
          <a:off x="571500" y="20989925"/>
          <a:ext cx="9620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0</xdr:col>
      <xdr:colOff>346075</xdr:colOff>
      <xdr:row>106</xdr:row>
      <xdr:rowOff>149225</xdr:rowOff>
    </xdr:from>
    <xdr:to>
      <xdr:col>2</xdr:col>
      <xdr:colOff>149127</xdr:colOff>
      <xdr:row>109</xdr:row>
      <xdr:rowOff>95043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346075" y="20427950"/>
          <a:ext cx="1241327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723900</xdr:colOff>
      <xdr:row>98</xdr:row>
      <xdr:rowOff>98425</xdr:rowOff>
    </xdr:from>
    <xdr:to>
      <xdr:col>6</xdr:col>
      <xdr:colOff>612671</xdr:colOff>
      <xdr:row>100</xdr:row>
      <xdr:rowOff>29132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 txBox="1"/>
      </xdr:nvSpPr>
      <xdr:spPr>
        <a:xfrm>
          <a:off x="3686175" y="19081750"/>
          <a:ext cx="141277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717675" y="24784050"/>
          <a:ext cx="23812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146012</xdr:colOff>
      <xdr:row>131</xdr:row>
      <xdr:rowOff>76136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 txBox="1"/>
      </xdr:nvSpPr>
      <xdr:spPr>
        <a:xfrm>
          <a:off x="0" y="24025225"/>
          <a:ext cx="1584287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 LAeq LT previsto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146050</xdr:colOff>
      <xdr:row>102</xdr:row>
      <xdr:rowOff>0</xdr:rowOff>
    </xdr:from>
    <xdr:to>
      <xdr:col>6</xdr:col>
      <xdr:colOff>428763</xdr:colOff>
      <xdr:row>103</xdr:row>
      <xdr:rowOff>107444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/>
      </xdr:nvSpPr>
      <xdr:spPr>
        <a:xfrm>
          <a:off x="3870325" y="19631025"/>
          <a:ext cx="104471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4</xdr:col>
      <xdr:colOff>723900</xdr:colOff>
      <xdr:row>103</xdr:row>
      <xdr:rowOff>149226</xdr:rowOff>
    </xdr:from>
    <xdr:to>
      <xdr:col>6</xdr:col>
      <xdr:colOff>28575</xdr:colOff>
      <xdr:row>107</xdr:row>
      <xdr:rowOff>36288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 txBox="1"/>
      </xdr:nvSpPr>
      <xdr:spPr>
        <a:xfrm>
          <a:off x="3686175" y="19942176"/>
          <a:ext cx="828675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 txBox="1"/>
      </xdr:nvSpPr>
      <xdr:spPr>
        <a:xfrm>
          <a:off x="3562350" y="20339050"/>
          <a:ext cx="1057275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113</xdr:row>
      <xdr:rowOff>24129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 txBox="1"/>
      </xdr:nvSpPr>
      <xdr:spPr>
        <a:xfrm>
          <a:off x="3562350" y="20989925"/>
          <a:ext cx="10572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92</xdr:row>
      <xdr:rowOff>87087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 txBox="1"/>
      </xdr:nvSpPr>
      <xdr:spPr>
        <a:xfrm>
          <a:off x="3578225" y="17564100"/>
          <a:ext cx="1428750" cy="534762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38100</xdr:rowOff>
    </xdr:to>
    <xdr:pic>
      <xdr:nvPicPr>
        <xdr:cNvPr id="25" name="Picture 27" descr="ren.png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17164050"/>
          <a:ext cx="561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349250</xdr:colOff>
      <xdr:row>33</xdr:row>
      <xdr:rowOff>0</xdr:rowOff>
    </xdr:from>
    <xdr:to>
      <xdr:col>3</xdr:col>
      <xdr:colOff>600027</xdr:colOff>
      <xdr:row>34</xdr:row>
      <xdr:rowOff>101600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 txBox="1">
          <a:spLocks noChangeArrowheads="1"/>
        </xdr:cNvSpPr>
      </xdr:nvSpPr>
      <xdr:spPr bwMode="auto">
        <a:xfrm>
          <a:off x="930275" y="7505700"/>
          <a:ext cx="187002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21</xdr:row>
          <xdr:rowOff>28575</xdr:rowOff>
        </xdr:from>
        <xdr:to>
          <xdr:col>14</xdr:col>
          <xdr:colOff>238125</xdr:colOff>
          <xdr:row>22</xdr:row>
          <xdr:rowOff>104775</xdr:rowOff>
        </xdr:to>
        <xdr:sp macro="" textlink="">
          <xdr:nvSpPr>
            <xdr:cNvPr id="92161" name="Lista pendente 288" hidden="1">
              <a:extLst>
                <a:ext uri="{63B3BB69-23CF-44E3-9099-C40C66FF867C}">
                  <a14:compatExt spid="_x0000_s92161"/>
                </a:ext>
                <a:ext uri="{FF2B5EF4-FFF2-40B4-BE49-F238E27FC236}">
                  <a16:creationId xmlns:a16="http://schemas.microsoft.com/office/drawing/2014/main" id="{00000000-0008-0000-0500-0000016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11</xdr:row>
      <xdr:rowOff>314325</xdr:rowOff>
    </xdr:from>
    <xdr:to>
      <xdr:col>3</xdr:col>
      <xdr:colOff>523875</xdr:colOff>
      <xdr:row>22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62225"/>
          <a:ext cx="1438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454025</xdr:colOff>
      <xdr:row>1</xdr:row>
      <xdr:rowOff>143926</xdr:rowOff>
    </xdr:from>
    <xdr:to>
      <xdr:col>13</xdr:col>
      <xdr:colOff>41853</xdr:colOff>
      <xdr:row>7</xdr:row>
      <xdr:rowOff>2496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692775" y="305851"/>
          <a:ext cx="4150303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duplo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verticais</a:t>
          </a:r>
        </a:p>
      </xdr:txBody>
    </xdr:sp>
    <xdr:clientData/>
  </xdr:twoCellAnchor>
  <xdr:oneCellAnchor>
    <xdr:from>
      <xdr:col>6</xdr:col>
      <xdr:colOff>479425</xdr:colOff>
      <xdr:row>31</xdr:row>
      <xdr:rowOff>66830</xdr:rowOff>
    </xdr:from>
    <xdr:ext cx="1109471" cy="416781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965700" y="7096280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oneCellAnchor>
    <xdr:from>
      <xdr:col>10</xdr:col>
      <xdr:colOff>241300</xdr:colOff>
      <xdr:row>20</xdr:row>
      <xdr:rowOff>105124</xdr:rowOff>
    </xdr:from>
    <xdr:ext cx="1251368" cy="416781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7756525" y="46199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twoCellAnchor>
    <xdr:from>
      <xdr:col>1</xdr:col>
      <xdr:colOff>549275</xdr:colOff>
      <xdr:row>26</xdr:row>
      <xdr:rowOff>76200</xdr:rowOff>
    </xdr:from>
    <xdr:to>
      <xdr:col>3</xdr:col>
      <xdr:colOff>644525</xdr:colOff>
      <xdr:row>29</xdr:row>
      <xdr:rowOff>25400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1130300" y="6067425"/>
          <a:ext cx="1714500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twoCellAnchor>
  <xdr:twoCellAnchor>
    <xdr:from>
      <xdr:col>12</xdr:col>
      <xdr:colOff>53975</xdr:colOff>
      <xdr:row>30</xdr:row>
      <xdr:rowOff>160891</xdr:rowOff>
    </xdr:from>
    <xdr:to>
      <xdr:col>12</xdr:col>
      <xdr:colOff>695064</xdr:colOff>
      <xdr:row>33</xdr:row>
      <xdr:rowOff>101721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9093200" y="7028416"/>
          <a:ext cx="64108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9</xdr:col>
      <xdr:colOff>628650</xdr:colOff>
      <xdr:row>28</xdr:row>
      <xdr:rowOff>177800</xdr:rowOff>
    </xdr:from>
    <xdr:to>
      <xdr:col>11</xdr:col>
      <xdr:colOff>133350</xdr:colOff>
      <xdr:row>31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7381875" y="6569075"/>
          <a:ext cx="1028700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415953</xdr:colOff>
      <xdr:row>93</xdr:row>
      <xdr:rowOff>13840</xdr:rowOff>
    </xdr:to>
    <xdr:sp macro="" textlink="">
      <xdr:nvSpPr>
        <xdr:cNvPr id="9" name="TextBox 13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450850" y="17564100"/>
          <a:ext cx="2165378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bandeira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66675</xdr:colOff>
      <xdr:row>95</xdr:row>
      <xdr:rowOff>38100</xdr:rowOff>
    </xdr:from>
    <xdr:to>
      <xdr:col>4</xdr:col>
      <xdr:colOff>12713</xdr:colOff>
      <xdr:row>96</xdr:row>
      <xdr:rowOff>145544</xdr:rowOff>
    </xdr:to>
    <xdr:sp macro="" textlink="">
      <xdr:nvSpPr>
        <xdr:cNvPr id="10" name="TextBox 13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647700" y="18535650"/>
          <a:ext cx="23272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123</xdr:row>
      <xdr:rowOff>101601</xdr:rowOff>
    </xdr:from>
    <xdr:to>
      <xdr:col>1</xdr:col>
      <xdr:colOff>612580</xdr:colOff>
      <xdr:row>125</xdr:row>
      <xdr:rowOff>47120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71450" y="23142576"/>
          <a:ext cx="102215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82550" y="21859875"/>
          <a:ext cx="14097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0</xdr:colOff>
      <xdr:row>99</xdr:row>
      <xdr:rowOff>60325</xdr:rowOff>
    </xdr:from>
    <xdr:to>
      <xdr:col>2</xdr:col>
      <xdr:colOff>117444</xdr:colOff>
      <xdr:row>103</xdr:row>
      <xdr:rowOff>6442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581025" y="19205575"/>
          <a:ext cx="97469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103</xdr:row>
      <xdr:rowOff>101600</xdr:rowOff>
    </xdr:from>
    <xdr:to>
      <xdr:col>2</xdr:col>
      <xdr:colOff>117444</xdr:colOff>
      <xdr:row>106</xdr:row>
      <xdr:rowOff>47418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581025" y="19894550"/>
          <a:ext cx="974694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571500</xdr:colOff>
      <xdr:row>110</xdr:row>
      <xdr:rowOff>63500</xdr:rowOff>
    </xdr:from>
    <xdr:to>
      <xdr:col>2</xdr:col>
      <xdr:colOff>95250</xdr:colOff>
      <xdr:row>113</xdr:row>
      <xdr:rowOff>156730</xdr:rowOff>
    </xdr:to>
    <xdr:sp macro="" textlink="">
      <xdr:nvSpPr>
        <xdr:cNvPr id="15" name="TextBox 13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571500" y="20989925"/>
          <a:ext cx="9620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0</xdr:col>
      <xdr:colOff>346075</xdr:colOff>
      <xdr:row>106</xdr:row>
      <xdr:rowOff>149225</xdr:rowOff>
    </xdr:from>
    <xdr:to>
      <xdr:col>2</xdr:col>
      <xdr:colOff>149127</xdr:colOff>
      <xdr:row>109</xdr:row>
      <xdr:rowOff>95043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346075" y="20427950"/>
          <a:ext cx="1241327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723900</xdr:colOff>
      <xdr:row>98</xdr:row>
      <xdr:rowOff>98425</xdr:rowOff>
    </xdr:from>
    <xdr:to>
      <xdr:col>6</xdr:col>
      <xdr:colOff>612671</xdr:colOff>
      <xdr:row>100</xdr:row>
      <xdr:rowOff>29132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3686175" y="19081750"/>
          <a:ext cx="141277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1717675" y="24784050"/>
          <a:ext cx="23812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146012</xdr:colOff>
      <xdr:row>131</xdr:row>
      <xdr:rowOff>76136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0" y="24025225"/>
          <a:ext cx="1584287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 LAeq LT previsto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146050</xdr:colOff>
      <xdr:row>102</xdr:row>
      <xdr:rowOff>0</xdr:rowOff>
    </xdr:from>
    <xdr:to>
      <xdr:col>6</xdr:col>
      <xdr:colOff>428763</xdr:colOff>
      <xdr:row>103</xdr:row>
      <xdr:rowOff>107444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3870325" y="19631025"/>
          <a:ext cx="104471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4</xdr:col>
      <xdr:colOff>723900</xdr:colOff>
      <xdr:row>103</xdr:row>
      <xdr:rowOff>149226</xdr:rowOff>
    </xdr:from>
    <xdr:to>
      <xdr:col>6</xdr:col>
      <xdr:colOff>28575</xdr:colOff>
      <xdr:row>107</xdr:row>
      <xdr:rowOff>36288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3686175" y="19942176"/>
          <a:ext cx="828675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3562350" y="20339050"/>
          <a:ext cx="1057275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113</xdr:row>
      <xdr:rowOff>24129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3562350" y="20989925"/>
          <a:ext cx="10572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92</xdr:row>
      <xdr:rowOff>87087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3578225" y="17564100"/>
          <a:ext cx="1428750" cy="534762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38100</xdr:rowOff>
    </xdr:to>
    <xdr:pic>
      <xdr:nvPicPr>
        <xdr:cNvPr id="25" name="Picture 27" descr="ren.png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17164050"/>
          <a:ext cx="561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349250</xdr:colOff>
      <xdr:row>33</xdr:row>
      <xdr:rowOff>0</xdr:rowOff>
    </xdr:from>
    <xdr:to>
      <xdr:col>3</xdr:col>
      <xdr:colOff>600027</xdr:colOff>
      <xdr:row>34</xdr:row>
      <xdr:rowOff>101600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930275" y="7505700"/>
          <a:ext cx="187002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21</xdr:row>
          <xdr:rowOff>28575</xdr:rowOff>
        </xdr:from>
        <xdr:to>
          <xdr:col>14</xdr:col>
          <xdr:colOff>238125</xdr:colOff>
          <xdr:row>22</xdr:row>
          <xdr:rowOff>104775</xdr:rowOff>
        </xdr:to>
        <xdr:sp macro="" textlink="">
          <xdr:nvSpPr>
            <xdr:cNvPr id="90113" name="Lista pendente 288" hidden="1">
              <a:extLst>
                <a:ext uri="{63B3BB69-23CF-44E3-9099-C40C66FF867C}">
                  <a14:compatExt spid="_x0000_s90113"/>
                </a:ext>
                <a:ext uri="{FF2B5EF4-FFF2-40B4-BE49-F238E27FC236}">
                  <a16:creationId xmlns:a16="http://schemas.microsoft.com/office/drawing/2014/main" id="{00000000-0008-0000-0600-0000016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11</xdr:row>
      <xdr:rowOff>314325</xdr:rowOff>
    </xdr:from>
    <xdr:to>
      <xdr:col>3</xdr:col>
      <xdr:colOff>523875</xdr:colOff>
      <xdr:row>22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2562225"/>
          <a:ext cx="1438275" cy="268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454025</xdr:colOff>
      <xdr:row>1</xdr:row>
      <xdr:rowOff>143926</xdr:rowOff>
    </xdr:from>
    <xdr:to>
      <xdr:col>13</xdr:col>
      <xdr:colOff>41853</xdr:colOff>
      <xdr:row>7</xdr:row>
      <xdr:rowOff>2496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692775" y="305851"/>
          <a:ext cx="4150303" cy="1153970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ctr" anchorCtr="1">
          <a:spAutoFit/>
        </a:bodyPr>
        <a:lstStyle/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circuito duplo</a:t>
          </a:r>
        </a:p>
        <a:p>
          <a:pPr algn="ctr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verticais</a:t>
          </a:r>
        </a:p>
      </xdr:txBody>
    </xdr:sp>
    <xdr:clientData/>
  </xdr:twoCellAnchor>
  <xdr:oneCellAnchor>
    <xdr:from>
      <xdr:col>6</xdr:col>
      <xdr:colOff>479425</xdr:colOff>
      <xdr:row>31</xdr:row>
      <xdr:rowOff>66830</xdr:rowOff>
    </xdr:from>
    <xdr:ext cx="1109471" cy="416781"/>
    <xdr:sp macro="" textlink="">
      <xdr:nvSpPr>
        <xdr:cNvPr id="4" name="TextBox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965700" y="7096280"/>
          <a:ext cx="1109471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terreno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 linha MAT:</a:t>
          </a:r>
        </a:p>
      </xdr:txBody>
    </xdr:sp>
    <xdr:clientData/>
  </xdr:oneCellAnchor>
  <xdr:oneCellAnchor>
    <xdr:from>
      <xdr:col>10</xdr:col>
      <xdr:colOff>241300</xdr:colOff>
      <xdr:row>20</xdr:row>
      <xdr:rowOff>105124</xdr:rowOff>
    </xdr:from>
    <xdr:ext cx="1251368" cy="416781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7756525" y="4619974"/>
          <a:ext cx="1251368" cy="4167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none" rtlCol="0" anchor="ctr" anchorCtr="1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Seleccione área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geográfica:</a:t>
          </a:r>
        </a:p>
      </xdr:txBody>
    </xdr:sp>
    <xdr:clientData/>
  </xdr:oneCellAnchor>
  <xdr:twoCellAnchor>
    <xdr:from>
      <xdr:col>1</xdr:col>
      <xdr:colOff>549275</xdr:colOff>
      <xdr:row>26</xdr:row>
      <xdr:rowOff>76200</xdr:rowOff>
    </xdr:from>
    <xdr:to>
      <xdr:col>3</xdr:col>
      <xdr:colOff>644525</xdr:colOff>
      <xdr:row>29</xdr:row>
      <xdr:rowOff>25400</xdr:rowOff>
    </xdr:to>
    <xdr:sp macro="" textlink="">
      <xdr:nvSpPr>
        <xdr:cNvPr id="6" name="TextBox 13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130300" y="6067425"/>
          <a:ext cx="1714500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corrente ac</a:t>
          </a:r>
        </a:p>
      </xdr:txBody>
    </xdr:sp>
    <xdr:clientData/>
  </xdr:twoCellAnchor>
  <xdr:twoCellAnchor>
    <xdr:from>
      <xdr:col>12</xdr:col>
      <xdr:colOff>53975</xdr:colOff>
      <xdr:row>30</xdr:row>
      <xdr:rowOff>160891</xdr:rowOff>
    </xdr:from>
    <xdr:to>
      <xdr:col>12</xdr:col>
      <xdr:colOff>695064</xdr:colOff>
      <xdr:row>33</xdr:row>
      <xdr:rowOff>101721</xdr:rowOff>
    </xdr:to>
    <xdr:sp macro="" textlink="">
      <xdr:nvSpPr>
        <xdr:cNvPr id="7" name="TextBox 4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093200" y="7028416"/>
          <a:ext cx="641089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 anchorCtr="1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FF"/>
              </a:solidFill>
              <a:latin typeface="Arial"/>
              <a:ea typeface="Arial"/>
              <a:cs typeface="Arial"/>
            </a:rPr>
            <a:t>Cota terreno:</a:t>
          </a:r>
        </a:p>
      </xdr:txBody>
    </xdr:sp>
    <xdr:clientData/>
  </xdr:twoCellAnchor>
  <xdr:twoCellAnchor>
    <xdr:from>
      <xdr:col>9</xdr:col>
      <xdr:colOff>628650</xdr:colOff>
      <xdr:row>28</xdr:row>
      <xdr:rowOff>177800</xdr:rowOff>
    </xdr:from>
    <xdr:to>
      <xdr:col>11</xdr:col>
      <xdr:colOff>133350</xdr:colOff>
      <xdr:row>31</xdr:row>
      <xdr:rowOff>0</xdr:rowOff>
    </xdr:to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7381875" y="6569075"/>
          <a:ext cx="1028700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Distância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à linha MAT:</a:t>
          </a:r>
        </a:p>
      </xdr:txBody>
    </xdr:sp>
    <xdr:clientData/>
  </xdr:twoCellAnchor>
  <xdr:twoCellAnchor>
    <xdr:from>
      <xdr:col>0</xdr:col>
      <xdr:colOff>450850</xdr:colOff>
      <xdr:row>89</xdr:row>
      <xdr:rowOff>38100</xdr:rowOff>
    </xdr:from>
    <xdr:to>
      <xdr:col>3</xdr:col>
      <xdr:colOff>415953</xdr:colOff>
      <xdr:row>93</xdr:row>
      <xdr:rowOff>13840</xdr:rowOff>
    </xdr:to>
    <xdr:sp macro="" textlink="">
      <xdr:nvSpPr>
        <xdr:cNvPr id="9" name="TextBox 13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450850" y="17564100"/>
          <a:ext cx="2165378" cy="623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 MAT em projecto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fases em bandeira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corrente ac</a:t>
          </a:r>
        </a:p>
      </xdr:txBody>
    </xdr:sp>
    <xdr:clientData/>
  </xdr:twoCellAnchor>
  <xdr:twoCellAnchor>
    <xdr:from>
      <xdr:col>1</xdr:col>
      <xdr:colOff>66675</xdr:colOff>
      <xdr:row>95</xdr:row>
      <xdr:rowOff>38100</xdr:rowOff>
    </xdr:from>
    <xdr:to>
      <xdr:col>4</xdr:col>
      <xdr:colOff>12713</xdr:colOff>
      <xdr:row>96</xdr:row>
      <xdr:rowOff>145544</xdr:rowOff>
    </xdr:to>
    <xdr:sp macro="" textlink="">
      <xdr:nvSpPr>
        <xdr:cNvPr id="10" name="TextBox 13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647700" y="18535650"/>
          <a:ext cx="2327288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Linha</a:t>
          </a:r>
          <a:r>
            <a:rPr lang="en-US" sz="12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</a:t>
          </a:r>
          <a:endParaRPr lang="en-US" sz="1200" b="1" i="0" strike="noStrike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0</xdr:col>
      <xdr:colOff>171450</xdr:colOff>
      <xdr:row>123</xdr:row>
      <xdr:rowOff>101601</xdr:rowOff>
    </xdr:from>
    <xdr:to>
      <xdr:col>1</xdr:col>
      <xdr:colOff>612580</xdr:colOff>
      <xdr:row>125</xdr:row>
      <xdr:rowOff>47120</xdr:rowOff>
    </xdr:to>
    <xdr:sp macro="" textlink="">
      <xdr:nvSpPr>
        <xdr:cNvPr id="11" name="TextBox 13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71450" y="23142576"/>
          <a:ext cx="1022155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resultados </a:t>
          </a:r>
        </a:p>
      </xdr:txBody>
    </xdr:sp>
    <xdr:clientData/>
  </xdr:twoCellAnchor>
  <xdr:twoCellAnchor>
    <xdr:from>
      <xdr:col>0</xdr:col>
      <xdr:colOff>82550</xdr:colOff>
      <xdr:row>115</xdr:row>
      <xdr:rowOff>123825</xdr:rowOff>
    </xdr:from>
    <xdr:to>
      <xdr:col>2</xdr:col>
      <xdr:colOff>53975</xdr:colOff>
      <xdr:row>118</xdr:row>
      <xdr:rowOff>84454</xdr:rowOff>
    </xdr:to>
    <xdr:sp macro="" textlink="">
      <xdr:nvSpPr>
        <xdr:cNvPr id="12" name="TextBox 1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82550" y="21859875"/>
          <a:ext cx="1409700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referência</a:t>
          </a:r>
        </a:p>
      </xdr:txBody>
    </xdr:sp>
    <xdr:clientData/>
  </xdr:twoCellAnchor>
  <xdr:twoCellAnchor>
    <xdr:from>
      <xdr:col>1</xdr:col>
      <xdr:colOff>0</xdr:colOff>
      <xdr:row>99</xdr:row>
      <xdr:rowOff>60325</xdr:rowOff>
    </xdr:from>
    <xdr:to>
      <xdr:col>2</xdr:col>
      <xdr:colOff>117444</xdr:colOff>
      <xdr:row>103</xdr:row>
      <xdr:rowOff>6442</xdr:rowOff>
    </xdr:to>
    <xdr:sp macro="" textlink="">
      <xdr:nvSpPr>
        <xdr:cNvPr id="13" name="TextBox 1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581025" y="19205575"/>
          <a:ext cx="974694" cy="593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Separação entre fases (m)</a:t>
          </a:r>
          <a:r>
            <a:rPr lang="en-US" sz="12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103</xdr:row>
      <xdr:rowOff>101600</xdr:rowOff>
    </xdr:from>
    <xdr:to>
      <xdr:col>2</xdr:col>
      <xdr:colOff>117444</xdr:colOff>
      <xdr:row>106</xdr:row>
      <xdr:rowOff>47418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581025" y="19894550"/>
          <a:ext cx="974694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Altura relativa (m)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571500</xdr:colOff>
      <xdr:row>110</xdr:row>
      <xdr:rowOff>63500</xdr:rowOff>
    </xdr:from>
    <xdr:to>
      <xdr:col>2</xdr:col>
      <xdr:colOff>95250</xdr:colOff>
      <xdr:row>113</xdr:row>
      <xdr:rowOff>156730</xdr:rowOff>
    </xdr:to>
    <xdr:sp macro="" textlink="">
      <xdr:nvSpPr>
        <xdr:cNvPr id="15" name="TextBox 13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71500" y="20989925"/>
          <a:ext cx="9620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Campo Eléctrico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(kV/cm)</a:t>
          </a:r>
        </a:p>
      </xdr:txBody>
    </xdr:sp>
    <xdr:clientData/>
  </xdr:twoCellAnchor>
  <xdr:twoCellAnchor>
    <xdr:from>
      <xdr:col>0</xdr:col>
      <xdr:colOff>346075</xdr:colOff>
      <xdr:row>106</xdr:row>
      <xdr:rowOff>149225</xdr:rowOff>
    </xdr:from>
    <xdr:to>
      <xdr:col>2</xdr:col>
      <xdr:colOff>149127</xdr:colOff>
      <xdr:row>109</xdr:row>
      <xdr:rowOff>95043</xdr:rowOff>
    </xdr:to>
    <xdr:sp macro="" textlink="">
      <xdr:nvSpPr>
        <xdr:cNvPr id="16" name="TextBox 13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346075" y="20427950"/>
          <a:ext cx="1241327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diâmetro</a:t>
          </a:r>
        </a:p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condutor (cm)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723900</xdr:colOff>
      <xdr:row>98</xdr:row>
      <xdr:rowOff>98425</xdr:rowOff>
    </xdr:from>
    <xdr:to>
      <xdr:col>6</xdr:col>
      <xdr:colOff>612671</xdr:colOff>
      <xdr:row>100</xdr:row>
      <xdr:rowOff>29132</xdr:rowOff>
    </xdr:to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3686175" y="19081750"/>
          <a:ext cx="141277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Cota LMAT</a:t>
          </a:r>
        </a:p>
      </xdr:txBody>
    </xdr:sp>
    <xdr:clientData/>
  </xdr:twoCellAnchor>
  <xdr:twoCellAnchor>
    <xdr:from>
      <xdr:col>2</xdr:col>
      <xdr:colOff>279400</xdr:colOff>
      <xdr:row>133</xdr:row>
      <xdr:rowOff>123825</xdr:rowOff>
    </xdr:from>
    <xdr:to>
      <xdr:col>5</xdr:col>
      <xdr:colOff>374650</xdr:colOff>
      <xdr:row>135</xdr:row>
      <xdr:rowOff>69344</xdr:rowOff>
    </xdr:to>
    <xdr:sp macro="" textlink="">
      <xdr:nvSpPr>
        <xdr:cNvPr id="18" name="TextBox 13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1717675" y="24784050"/>
          <a:ext cx="238125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Ruído Ambiente previsto </a:t>
          </a:r>
        </a:p>
      </xdr:txBody>
    </xdr:sp>
    <xdr:clientData/>
  </xdr:twoCellAnchor>
  <xdr:twoCellAnchor>
    <xdr:from>
      <xdr:col>0</xdr:col>
      <xdr:colOff>0</xdr:colOff>
      <xdr:row>129</xdr:row>
      <xdr:rowOff>12700</xdr:rowOff>
    </xdr:from>
    <xdr:to>
      <xdr:col>2</xdr:col>
      <xdr:colOff>146012</xdr:colOff>
      <xdr:row>131</xdr:row>
      <xdr:rowOff>76136</xdr:rowOff>
    </xdr:to>
    <xdr:sp macro="" textlink="">
      <xdr:nvSpPr>
        <xdr:cNvPr id="19" name="TextBox 13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0" y="24025225"/>
          <a:ext cx="1584287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Linha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MAT LAeq LT previsto</a:t>
          </a:r>
          <a:r>
            <a:rPr lang="en-US" sz="10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5</xdr:col>
      <xdr:colOff>146050</xdr:colOff>
      <xdr:row>102</xdr:row>
      <xdr:rowOff>0</xdr:rowOff>
    </xdr:from>
    <xdr:to>
      <xdr:col>6</xdr:col>
      <xdr:colOff>428763</xdr:colOff>
      <xdr:row>103</xdr:row>
      <xdr:rowOff>107444</xdr:rowOff>
    </xdr:to>
    <xdr:sp macro="" textlink="">
      <xdr:nvSpPr>
        <xdr:cNvPr id="20" name="TextBox 13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3870325" y="19631025"/>
          <a:ext cx="1044713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chemeClr val="tx2"/>
              </a:solidFill>
              <a:latin typeface="Arial"/>
              <a:ea typeface="Arial"/>
              <a:cs typeface="Arial"/>
            </a:rPr>
            <a:t>Receptor </a:t>
          </a:r>
        </a:p>
      </xdr:txBody>
    </xdr:sp>
    <xdr:clientData/>
  </xdr:twoCellAnchor>
  <xdr:twoCellAnchor>
    <xdr:from>
      <xdr:col>4</xdr:col>
      <xdr:colOff>723900</xdr:colOff>
      <xdr:row>103</xdr:row>
      <xdr:rowOff>149226</xdr:rowOff>
    </xdr:from>
    <xdr:to>
      <xdr:col>6</xdr:col>
      <xdr:colOff>28575</xdr:colOff>
      <xdr:row>107</xdr:row>
      <xdr:rowOff>36288</xdr:rowOff>
    </xdr:to>
    <xdr:sp macro="" textlink="">
      <xdr:nvSpPr>
        <xdr:cNvPr id="21" name="TextBox 1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3686175" y="19942176"/>
          <a:ext cx="828675" cy="5347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altura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333399"/>
              </a:solidFill>
              <a:latin typeface="Arial"/>
              <a:ea typeface="Arial"/>
              <a:cs typeface="Arial"/>
            </a:rPr>
            <a:t>relativa (m) </a:t>
          </a:r>
        </a:p>
      </xdr:txBody>
    </xdr:sp>
    <xdr:clientData/>
  </xdr:twoCellAnchor>
  <xdr:twoCellAnchor>
    <xdr:from>
      <xdr:col>4</xdr:col>
      <xdr:colOff>600075</xdr:colOff>
      <xdr:row>106</xdr:row>
      <xdr:rowOff>60325</xdr:rowOff>
    </xdr:from>
    <xdr:to>
      <xdr:col>6</xdr:col>
      <xdr:colOff>133350</xdr:colOff>
      <xdr:row>109</xdr:row>
      <xdr:rowOff>6143</xdr:rowOff>
    </xdr:to>
    <xdr:sp macro="" textlink="">
      <xdr:nvSpPr>
        <xdr:cNvPr id="22" name="TextBox 13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3562350" y="20339050"/>
          <a:ext cx="1057275" cy="4315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1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Distância à linha (m)</a:t>
          </a:r>
          <a:r>
            <a:rPr lang="en-US" sz="1200" b="1" i="0" strike="noStrike">
              <a:solidFill>
                <a:srgbClr val="1F497D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600075</xdr:colOff>
      <xdr:row>110</xdr:row>
      <xdr:rowOff>63500</xdr:rowOff>
    </xdr:from>
    <xdr:to>
      <xdr:col>6</xdr:col>
      <xdr:colOff>133350</xdr:colOff>
      <xdr:row>113</xdr:row>
      <xdr:rowOff>24129</xdr:rowOff>
    </xdr:to>
    <xdr:sp macro="" textlink="">
      <xdr:nvSpPr>
        <xdr:cNvPr id="23" name="TextBox 13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3562350" y="20989925"/>
          <a:ext cx="10572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Zona geográfica: </a:t>
          </a:r>
        </a:p>
      </xdr:txBody>
    </xdr:sp>
    <xdr:clientData/>
  </xdr:twoCellAnchor>
  <xdr:twoCellAnchor>
    <xdr:from>
      <xdr:col>4</xdr:col>
      <xdr:colOff>615950</xdr:colOff>
      <xdr:row>89</xdr:row>
      <xdr:rowOff>38100</xdr:rowOff>
    </xdr:from>
    <xdr:to>
      <xdr:col>6</xdr:col>
      <xdr:colOff>520700</xdr:colOff>
      <xdr:row>92</xdr:row>
      <xdr:rowOff>87087</xdr:rowOff>
    </xdr:to>
    <xdr:sp macro="" textlink="">
      <xdr:nvSpPr>
        <xdr:cNvPr id="24" name="TextBox 1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3578225" y="17564100"/>
          <a:ext cx="1428750" cy="534762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Modelo de previsão </a:t>
          </a:r>
        </a:p>
        <a:p>
          <a:pPr algn="ctr" rtl="0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 Ruído Acústico LMAT </a:t>
          </a:r>
        </a:p>
      </xdr:txBody>
    </xdr:sp>
    <xdr:clientData/>
  </xdr:twoCellAnchor>
  <xdr:twoCellAnchor editAs="oneCell">
    <xdr:from>
      <xdr:col>5</xdr:col>
      <xdr:colOff>219075</xdr:colOff>
      <xdr:row>86</xdr:row>
      <xdr:rowOff>152400</xdr:rowOff>
    </xdr:from>
    <xdr:to>
      <xdr:col>6</xdr:col>
      <xdr:colOff>19050</xdr:colOff>
      <xdr:row>88</xdr:row>
      <xdr:rowOff>38100</xdr:rowOff>
    </xdr:to>
    <xdr:pic>
      <xdr:nvPicPr>
        <xdr:cNvPr id="25" name="Picture 27" descr="ren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3350" y="17164050"/>
          <a:ext cx="5619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349250</xdr:colOff>
      <xdr:row>33</xdr:row>
      <xdr:rowOff>0</xdr:rowOff>
    </xdr:from>
    <xdr:to>
      <xdr:col>3</xdr:col>
      <xdr:colOff>600027</xdr:colOff>
      <xdr:row>34</xdr:row>
      <xdr:rowOff>101600</xdr:rowOff>
    </xdr:to>
    <xdr:sp macro="" textlink="">
      <xdr:nvSpPr>
        <xdr:cNvPr id="26" name="TextBox 13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930275" y="7505700"/>
          <a:ext cx="1870027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Dados Meteorológicos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476250</xdr:colOff>
          <xdr:row>21</xdr:row>
          <xdr:rowOff>28575</xdr:rowOff>
        </xdr:from>
        <xdr:to>
          <xdr:col>14</xdr:col>
          <xdr:colOff>238125</xdr:colOff>
          <xdr:row>22</xdr:row>
          <xdr:rowOff>104775</xdr:rowOff>
        </xdr:to>
        <xdr:sp macro="" textlink="">
          <xdr:nvSpPr>
            <xdr:cNvPr id="91137" name="Lista pendente 288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7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9050">
              <a:miter lim="800000"/>
              <a:headEnd/>
              <a:tailEnd/>
            </a:ln>
            <a:effectLst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EC7D0-2053-4765-B0FF-5A7358BF08F7}">
  <sheetPr>
    <pageSetUpPr autoPageBreaks="0" fitToPage="1"/>
  </sheetPr>
  <dimension ref="A1:AE138"/>
  <sheetViews>
    <sheetView showGridLines="0" topLeftCell="A114" zoomScale="115" zoomScaleNormal="115" workbookViewId="0">
      <selection activeCell="A82" sqref="A82:G138"/>
    </sheetView>
  </sheetViews>
  <sheetFormatPr defaultColWidth="11.42578125" defaultRowHeight="12.75" x14ac:dyDescent="0.2"/>
  <cols>
    <col min="1" max="1" width="10.140625" customWidth="1" collapsed="1"/>
    <col min="2" max="2" width="12.7109375" customWidth="1" collapsed="1"/>
    <col min="3" max="4" width="11.42578125" customWidth="1" collapsed="1"/>
    <col min="5" max="5" width="10.42578125" customWidth="1" collapsed="1"/>
    <col min="6" max="6" width="11.42578125" customWidth="1" collapsed="1"/>
    <col min="7" max="7" width="11.7109375" customWidth="1" collapsed="1"/>
  </cols>
  <sheetData>
    <row r="1" spans="2:31" x14ac:dyDescent="0.2">
      <c r="N1" s="20"/>
      <c r="O1" s="20"/>
      <c r="P1" s="20"/>
      <c r="Q1" s="20"/>
      <c r="R1" s="136"/>
      <c r="S1" s="136"/>
      <c r="T1" s="136"/>
      <c r="U1" s="136"/>
      <c r="V1" s="136"/>
      <c r="W1" s="136"/>
      <c r="X1" s="20"/>
    </row>
    <row r="2" spans="2:31" x14ac:dyDescent="0.2">
      <c r="N2" s="20"/>
      <c r="O2" s="20"/>
      <c r="Q2" s="20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21" t="s">
        <v>29</v>
      </c>
      <c r="AD2" s="132"/>
      <c r="AE2" s="132"/>
    </row>
    <row r="3" spans="2:31" x14ac:dyDescent="0.2">
      <c r="N3" s="20"/>
      <c r="O3" s="20"/>
      <c r="Q3" s="20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21" t="s">
        <v>40</v>
      </c>
      <c r="AD3" s="132"/>
      <c r="AE3" s="132"/>
    </row>
    <row r="4" spans="2:31" ht="20.100000000000001" customHeight="1" x14ac:dyDescent="0.25">
      <c r="B4" s="29" t="s">
        <v>2</v>
      </c>
      <c r="C4" s="158" t="s">
        <v>85</v>
      </c>
      <c r="D4" s="159"/>
      <c r="E4" s="160"/>
      <c r="N4" s="20"/>
      <c r="O4" s="20"/>
      <c r="Q4" s="20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21" t="s">
        <v>30</v>
      </c>
      <c r="AD4" s="132"/>
      <c r="AE4" s="132"/>
    </row>
    <row r="5" spans="2:31" ht="17.100000000000001" customHeight="1" x14ac:dyDescent="0.25">
      <c r="B5" s="30" t="s">
        <v>20</v>
      </c>
      <c r="C5" s="161" t="s">
        <v>85</v>
      </c>
      <c r="D5" s="161"/>
      <c r="E5" s="24"/>
      <c r="N5" s="20"/>
      <c r="O5" s="20"/>
      <c r="Q5" s="20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20" t="s">
        <v>69</v>
      </c>
      <c r="AD5" s="132"/>
      <c r="AE5" s="132"/>
    </row>
    <row r="6" spans="2:31" ht="17.100000000000001" customHeight="1" x14ac:dyDescent="0.25">
      <c r="B6" s="30" t="s">
        <v>17</v>
      </c>
      <c r="C6" s="162" t="s">
        <v>87</v>
      </c>
      <c r="D6" s="163"/>
      <c r="E6" s="164"/>
      <c r="N6" s="20"/>
      <c r="O6" s="20"/>
      <c r="P6" s="130">
        <v>4</v>
      </c>
      <c r="Q6" s="13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2:31" ht="17.100000000000001" customHeight="1" x14ac:dyDescent="0.25">
      <c r="B7" s="30" t="s">
        <v>5</v>
      </c>
      <c r="C7" s="162" t="s">
        <v>88</v>
      </c>
      <c r="D7" s="165"/>
      <c r="E7" s="166"/>
      <c r="N7" s="20"/>
      <c r="O7" s="20"/>
      <c r="P7" s="130">
        <v>1</v>
      </c>
      <c r="Q7" s="131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</row>
    <row r="8" spans="2:31" ht="17.100000000000001" customHeight="1" x14ac:dyDescent="0.25">
      <c r="B8" s="30" t="s">
        <v>21</v>
      </c>
      <c r="C8" s="162" t="s">
        <v>86</v>
      </c>
      <c r="D8" s="163"/>
      <c r="E8" s="166"/>
      <c r="N8" s="20"/>
      <c r="O8" s="20"/>
      <c r="P8" s="131"/>
      <c r="Q8" s="131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2:31" ht="16.5" customHeight="1" x14ac:dyDescent="0.25">
      <c r="B9" s="31" t="s">
        <v>16</v>
      </c>
      <c r="C9" s="167" t="s">
        <v>90</v>
      </c>
      <c r="D9" s="168"/>
      <c r="E9" s="169"/>
      <c r="N9" s="20"/>
      <c r="O9" s="20"/>
      <c r="P9" s="131"/>
      <c r="Q9" s="131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2:31" x14ac:dyDescent="0.2">
      <c r="N10" s="20"/>
      <c r="O10" s="20"/>
      <c r="P10" s="131"/>
      <c r="Q10" s="131"/>
      <c r="R10" s="132">
        <v>1</v>
      </c>
      <c r="S10" s="132">
        <v>2</v>
      </c>
      <c r="T10" s="132">
        <v>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2:31" x14ac:dyDescent="0.2">
      <c r="N11" s="20"/>
      <c r="O11" s="20"/>
      <c r="P11" s="131"/>
      <c r="Q11" s="131" t="s">
        <v>31</v>
      </c>
      <c r="R11" s="132">
        <f>IF(ISERROR(-109.6+120*LOG10(K16)+55*LOG10(G20)),"",-109.6+120*LOG10(K16)+55*LOG10(G20))</f>
        <v>60.264543434734023</v>
      </c>
      <c r="S11" s="132">
        <f>IF(ISERROR(-109.6+120*LOG10(L16)+55*LOG10(H20)),"",-109.6+120*LOG10(L16)+55*LOG10(H20))</f>
        <v>61.905315991008891</v>
      </c>
      <c r="T11" s="132">
        <f>IF(ISERROR(-109.6+120*LOG10(M16)+55*LOG10(I20)),"",-109.6+120*LOG10(M16)+55*LOG10(I20))</f>
        <v>60.264543434734023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2:31" ht="17.100000000000001" customHeight="1" x14ac:dyDescent="0.25">
      <c r="F12" s="1"/>
      <c r="G12" s="2"/>
      <c r="H12" s="2"/>
      <c r="I12" s="3" t="s">
        <v>32</v>
      </c>
      <c r="J12" s="2"/>
      <c r="K12" s="2"/>
      <c r="L12" s="2"/>
      <c r="M12" s="2"/>
      <c r="N12" s="4"/>
      <c r="O12" s="20"/>
      <c r="P12" s="131"/>
      <c r="Q12" s="131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2:31" x14ac:dyDescent="0.2">
      <c r="F13" s="5"/>
      <c r="G13" s="6"/>
      <c r="H13" s="6"/>
      <c r="I13" s="6"/>
      <c r="J13" s="6"/>
      <c r="K13" s="6"/>
      <c r="L13" s="6"/>
      <c r="M13" s="6"/>
      <c r="N13" s="7"/>
      <c r="O13" s="20"/>
      <c r="P13" s="131"/>
      <c r="Q13" s="131"/>
      <c r="R13" s="132">
        <f>SQRT((G16-$J$29)^2+((G24+H29)-($M$26+M29))^2)</f>
        <v>167.52937055931415</v>
      </c>
      <c r="S13" s="132">
        <f>SQRT((H16-$J$29)^2+((H24+H29)-($M$26+M29))^2)</f>
        <v>156.35296607356062</v>
      </c>
      <c r="T13" s="132">
        <f>SQRT((I16-$J$29)^2+((I24+H29)-($M$26+M29))^2)</f>
        <v>145.18019837429622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2:31" x14ac:dyDescent="0.2">
      <c r="F14" s="5"/>
      <c r="G14" s="6"/>
      <c r="H14" s="6"/>
      <c r="I14" s="6"/>
      <c r="J14" s="6"/>
      <c r="K14" s="6"/>
      <c r="L14" s="6"/>
      <c r="M14" s="6"/>
      <c r="N14" s="7"/>
      <c r="O14" s="20"/>
      <c r="P14" s="131"/>
      <c r="Q14" s="131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2:31" ht="15" customHeight="1" x14ac:dyDescent="0.25">
      <c r="F15" s="5"/>
      <c r="G15" s="8" t="s">
        <v>0</v>
      </c>
      <c r="H15" s="6"/>
      <c r="I15" s="6"/>
      <c r="J15" s="6"/>
      <c r="K15" s="8" t="s">
        <v>34</v>
      </c>
      <c r="L15" s="6"/>
      <c r="M15" s="6"/>
      <c r="N15" s="7"/>
      <c r="O15" s="20"/>
      <c r="P15" s="131"/>
      <c r="Q15" s="131"/>
      <c r="R15" s="132">
        <f>IF(ISERROR(R11-11.4*LOG10(R13)-5.8+($H$29/300)),"",R11-11.4*LOG10(R13)-5.8+($H$29/300))</f>
        <v>29.343239860914093</v>
      </c>
      <c r="S15" s="132">
        <f>IF(ISERROR(S11-11.4*LOG10(S13)-5.8+($H$29/300)),"",S11-11.4*LOG10(S13)-5.8+($H$29/300))</f>
        <v>31.32583950636516</v>
      </c>
      <c r="T15" s="132">
        <f>IF(ISERROR(T11-11.4*LOG10(T13)-5.8+($H$29/300)),"",T11-11.4*LOG10(T13)-5.8+($H$29/300))</f>
        <v>30.052132573505485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2:31" ht="24.75" customHeight="1" x14ac:dyDescent="0.2">
      <c r="F16" s="5"/>
      <c r="G16" s="142">
        <v>-11.2</v>
      </c>
      <c r="H16" s="142">
        <v>0</v>
      </c>
      <c r="I16" s="142">
        <f>G16*-1</f>
        <v>11.2</v>
      </c>
      <c r="J16" s="6"/>
      <c r="K16" s="75">
        <v>15.32</v>
      </c>
      <c r="L16" s="75">
        <v>15.81</v>
      </c>
      <c r="M16" s="75">
        <v>15.32</v>
      </c>
      <c r="N16" s="7"/>
      <c r="O16" s="20"/>
      <c r="P16" s="131"/>
      <c r="Q16" s="131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6:31" ht="14.1" customHeight="1" x14ac:dyDescent="0.2">
      <c r="F17" s="5"/>
      <c r="G17" s="6"/>
      <c r="H17" s="9" t="s">
        <v>25</v>
      </c>
      <c r="I17" s="6"/>
      <c r="J17" s="6"/>
      <c r="K17" s="6"/>
      <c r="L17" s="9" t="s">
        <v>25</v>
      </c>
      <c r="M17" s="6"/>
      <c r="N17" s="7"/>
      <c r="O17" s="20"/>
      <c r="P17" s="131"/>
      <c r="Q17" s="131" t="s">
        <v>14</v>
      </c>
      <c r="R17" s="132">
        <f>IF(ISERROR(10*LOG10(10^(R15/10)+10^(S15/10)+10^(T15/10))),"",10*LOG10(10^(R15/10)+10^(S15/10)+10^(T15/10)))</f>
        <v>35.090335738139842</v>
      </c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6:31" x14ac:dyDescent="0.2">
      <c r="F18" s="5"/>
      <c r="G18" s="6"/>
      <c r="H18" s="6"/>
      <c r="I18" s="6"/>
      <c r="J18" s="6"/>
      <c r="K18" s="6"/>
      <c r="L18" s="6"/>
      <c r="M18" s="6"/>
      <c r="N18" s="7"/>
      <c r="O18" s="20"/>
      <c r="P18" s="131"/>
      <c r="Q18" s="13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6:31" ht="15.75" x14ac:dyDescent="0.25">
      <c r="F19" s="5"/>
      <c r="G19" s="19" t="s">
        <v>39</v>
      </c>
      <c r="H19" s="19"/>
      <c r="I19" s="6"/>
      <c r="J19" s="6"/>
      <c r="K19" s="6"/>
      <c r="L19" s="6"/>
      <c r="M19" s="6"/>
      <c r="N19" s="7"/>
      <c r="O19" s="20"/>
      <c r="P19" s="131"/>
      <c r="Q19" s="13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6:31" ht="24.75" customHeight="1" x14ac:dyDescent="0.2">
      <c r="F20" s="5"/>
      <c r="G20" s="17">
        <v>3.18</v>
      </c>
      <c r="H20" s="17">
        <v>3.18</v>
      </c>
      <c r="I20" s="17">
        <v>3.18</v>
      </c>
      <c r="J20" s="6"/>
      <c r="K20" s="6"/>
      <c r="L20" s="6"/>
      <c r="M20" s="6"/>
      <c r="N20" s="7"/>
      <c r="O20" s="20"/>
      <c r="P20" s="131"/>
      <c r="Q20" s="131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6:31" x14ac:dyDescent="0.2">
      <c r="F21" s="5"/>
      <c r="G21" s="6"/>
      <c r="H21" s="9" t="s">
        <v>24</v>
      </c>
      <c r="I21" s="6"/>
      <c r="J21" s="6"/>
      <c r="K21" s="10"/>
      <c r="L21" s="6"/>
      <c r="M21" s="6"/>
      <c r="N21" s="7"/>
      <c r="O21" s="20"/>
      <c r="P21" s="131"/>
      <c r="Q21" s="131" t="s">
        <v>37</v>
      </c>
      <c r="R21" s="132">
        <f>IF(ISERROR(-120.93+120*LOG10(K16)+55*LOG10(G20)),"",-120.93+120*LOG10(K16)+55*LOG10(G20))</f>
        <v>48.93454343473401</v>
      </c>
      <c r="S21" s="132">
        <f>IF(ISERROR(-120.93+120*LOG10(L16)+55*LOG10(H20)),"",-120.93+120*LOG10(L16)+55*LOG10(H20))</f>
        <v>50.575315991008878</v>
      </c>
      <c r="T21" s="132">
        <f>IF(ISERROR(-120.93+120*LOG10(M16)+55*LOG10(I20)),"",-120.93+120*LOG10(M16)+55*LOG10(I20))</f>
        <v>48.93454343473401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6:31" ht="24" customHeight="1" x14ac:dyDescent="0.2">
      <c r="F22" s="5"/>
      <c r="G22" s="6"/>
      <c r="H22" s="6"/>
      <c r="I22" s="6"/>
      <c r="J22" s="6"/>
      <c r="K22" s="10"/>
      <c r="L22" s="6"/>
      <c r="M22" s="6"/>
      <c r="N22" s="7"/>
      <c r="O22" s="20"/>
      <c r="P22" s="131"/>
      <c r="Q22" s="131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6:31" ht="15.75" x14ac:dyDescent="0.25">
      <c r="F23" s="5"/>
      <c r="G23" s="19" t="s">
        <v>3</v>
      </c>
      <c r="H23" s="19"/>
      <c r="I23" s="19"/>
      <c r="J23" s="6"/>
      <c r="K23" s="10"/>
      <c r="L23" s="6"/>
      <c r="M23" s="6"/>
      <c r="N23" s="7"/>
      <c r="O23" s="20"/>
      <c r="P23" s="131"/>
      <c r="Q23" s="131"/>
      <c r="R23" s="132">
        <f>IF(ISERROR(R21-11.4*LOG10(R13)-5.8+($H$29/300)),"",R21-11.4*LOG10(R13)-5.8+($H$29/300))</f>
        <v>18.01323986091408</v>
      </c>
      <c r="S23" s="132">
        <f>IF(ISERROR(S21-11.4*LOG10(S13)-5.8+($H$29/300)),"",S21-11.4*LOG10(S13)-5.8+($H$29/300))</f>
        <v>19.995839506365147</v>
      </c>
      <c r="T23" s="132">
        <f>IF(ISERROR(T21-11.4*LOG10(T13)-5.8+($H$29/300)),"",T21-11.4*LOG10(T13)-5.8+($H$29/300))</f>
        <v>18.722132573505476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6:31" ht="24.75" customHeight="1" x14ac:dyDescent="0.25">
      <c r="F24" s="5"/>
      <c r="G24" s="17">
        <v>14</v>
      </c>
      <c r="H24" s="17">
        <v>14</v>
      </c>
      <c r="I24" s="17">
        <v>14</v>
      </c>
      <c r="J24" s="6"/>
      <c r="K24" s="111"/>
      <c r="L24" s="6"/>
      <c r="M24" s="11" t="s">
        <v>26</v>
      </c>
      <c r="N24" s="7"/>
      <c r="O24" s="20"/>
      <c r="P24" s="131"/>
      <c r="Q24" s="13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6:31" ht="14.1" customHeight="1" x14ac:dyDescent="0.2">
      <c r="F25" s="5"/>
      <c r="G25" s="6"/>
      <c r="H25" s="9" t="s">
        <v>24</v>
      </c>
      <c r="I25" s="6"/>
      <c r="J25" s="6"/>
      <c r="K25" s="6"/>
      <c r="L25" s="10"/>
      <c r="M25" s="6"/>
      <c r="N25" s="7"/>
      <c r="O25" s="20"/>
      <c r="P25" s="131"/>
      <c r="Q25" s="131" t="s">
        <v>14</v>
      </c>
      <c r="R25" s="132">
        <f>IF(ISERROR(10*LOG10(10^(R23/10)+10^(S23/10)+10^(T23/10))),"",10*LOG10(10^(R23/10)+10^(S23/10)+10^(T23/10)))</f>
        <v>23.76033573813983</v>
      </c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6:31" ht="26.1" customHeight="1" x14ac:dyDescent="0.2">
      <c r="F26" s="5"/>
      <c r="G26" s="6"/>
      <c r="H26" s="6"/>
      <c r="I26" s="6"/>
      <c r="J26" s="6"/>
      <c r="K26" s="6"/>
      <c r="L26" s="125" t="s">
        <v>66</v>
      </c>
      <c r="M26" s="18">
        <v>1.5</v>
      </c>
      <c r="N26" s="107" t="s">
        <v>27</v>
      </c>
      <c r="O26" s="20"/>
      <c r="P26" s="131"/>
      <c r="Q26" s="131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6:31" x14ac:dyDescent="0.2">
      <c r="F27" s="5"/>
      <c r="G27" s="6"/>
      <c r="H27" s="6"/>
      <c r="I27" s="6"/>
      <c r="J27" s="6"/>
      <c r="K27" s="6"/>
      <c r="L27" s="6"/>
      <c r="M27" s="6"/>
      <c r="N27" s="7"/>
      <c r="O27" s="20"/>
      <c r="P27" s="131"/>
      <c r="Q27" s="131" t="s">
        <v>44</v>
      </c>
      <c r="R27" s="132">
        <f>IF(P6=1,0.1,IF(P6=2,0.07,IF(P6=3,0.05,0.04)))</f>
        <v>0.04</v>
      </c>
      <c r="S27" s="132"/>
      <c r="T27" s="132">
        <f>IF(ISERROR(R17-R25),"",R17-R25)</f>
        <v>11.330000000000013</v>
      </c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6:31" ht="13.5" thickBot="1" x14ac:dyDescent="0.25">
      <c r="F28" s="5"/>
      <c r="G28" s="6"/>
      <c r="H28" s="6"/>
      <c r="I28" s="6"/>
      <c r="J28" s="6"/>
      <c r="K28" s="6"/>
      <c r="L28" s="6"/>
      <c r="M28" s="6"/>
      <c r="N28" s="7"/>
      <c r="O28" s="20"/>
      <c r="P28" s="131"/>
      <c r="Q28" s="131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6:31" ht="26.1" customHeight="1" thickBot="1" x14ac:dyDescent="0.25">
      <c r="F29" s="5"/>
      <c r="G29" s="12"/>
      <c r="H29" s="75">
        <v>70</v>
      </c>
      <c r="I29" s="13" t="s">
        <v>27</v>
      </c>
      <c r="J29" s="109">
        <v>156</v>
      </c>
      <c r="K29" s="110" t="s">
        <v>27</v>
      </c>
      <c r="L29" s="6"/>
      <c r="M29" s="124">
        <v>72</v>
      </c>
      <c r="N29" s="108" t="s">
        <v>27</v>
      </c>
      <c r="O29" s="20"/>
      <c r="P29" s="131"/>
      <c r="Q29" s="131" t="s">
        <v>13</v>
      </c>
      <c r="R29" s="132">
        <f>IF(ISERROR(10*LOG10(R27*(10^(R17/10))+(1-R27)*(10^(R25/10)))),"",10*LOG10(R27*(10^(R17/10))+(1-R27)*(10^(R25/10))))</f>
        <v>25.530865629517997</v>
      </c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6:31" ht="15" customHeight="1" x14ac:dyDescent="0.2">
      <c r="F30" s="14"/>
      <c r="G30" s="15"/>
      <c r="H30" s="15"/>
      <c r="I30" s="15"/>
      <c r="J30" s="15"/>
      <c r="K30" s="15"/>
      <c r="L30" s="15"/>
      <c r="M30" s="15"/>
      <c r="N30" s="16"/>
      <c r="O30" s="20"/>
      <c r="P30" s="131"/>
      <c r="Q30" s="131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6:31" x14ac:dyDescent="0.2">
      <c r="N31" s="20"/>
      <c r="O31" s="20"/>
      <c r="P31" s="131"/>
      <c r="Q31" s="131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6:31" x14ac:dyDescent="0.2">
      <c r="N32" s="20"/>
      <c r="O32" s="20"/>
      <c r="P32" s="131"/>
      <c r="Q32" s="131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2:31" ht="20.100000000000001" customHeight="1" x14ac:dyDescent="0.25">
      <c r="B33" s="103" t="s">
        <v>77</v>
      </c>
      <c r="C33" s="122">
        <v>16</v>
      </c>
      <c r="D33" s="4" t="s">
        <v>45</v>
      </c>
      <c r="F33" s="1"/>
      <c r="G33" s="27" t="s">
        <v>84</v>
      </c>
      <c r="H33" s="2"/>
      <c r="I33" s="2"/>
      <c r="J33" s="2"/>
      <c r="K33" s="4"/>
      <c r="N33" s="20"/>
      <c r="O33" s="20"/>
      <c r="P33" s="131"/>
      <c r="Q33" s="131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2:31" ht="27.75" customHeight="1" x14ac:dyDescent="0.25">
      <c r="B34" s="32" t="s">
        <v>46</v>
      </c>
      <c r="C34" s="123">
        <v>85</v>
      </c>
      <c r="D34" s="7" t="s">
        <v>47</v>
      </c>
      <c r="E34" s="22"/>
      <c r="F34" s="5"/>
      <c r="G34" s="25" t="s">
        <v>53</v>
      </c>
      <c r="H34" s="25" t="s">
        <v>54</v>
      </c>
      <c r="I34" s="25" t="s">
        <v>55</v>
      </c>
      <c r="J34" s="34" t="s">
        <v>48</v>
      </c>
      <c r="K34" s="7"/>
      <c r="L34" s="22"/>
      <c r="M34" s="22"/>
      <c r="O34" s="20"/>
      <c r="P34" s="131"/>
      <c r="Q34" s="131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2:31" ht="23.1" customHeight="1" x14ac:dyDescent="0.25">
      <c r="B35" s="33" t="s">
        <v>49</v>
      </c>
      <c r="C35" s="123">
        <v>0</v>
      </c>
      <c r="D35" s="7" t="s">
        <v>70</v>
      </c>
      <c r="E35" s="22"/>
      <c r="F35" s="5"/>
      <c r="G35" s="26">
        <v>40.9</v>
      </c>
      <c r="H35" s="26">
        <v>38.299999999999997</v>
      </c>
      <c r="I35" s="26">
        <v>37.6</v>
      </c>
      <c r="J35" s="129">
        <v>44.6</v>
      </c>
      <c r="K35" s="28" t="s">
        <v>22</v>
      </c>
      <c r="L35" s="22"/>
      <c r="M35" s="22"/>
      <c r="O35" s="20"/>
      <c r="P35" s="131"/>
      <c r="Q35" s="131"/>
      <c r="R35" s="139">
        <f>IF(ISERROR(10*LOG(1/24*(13*(10^(G35/10))+3*(10^((H35+5)/10))+8*(10^((I35+10)/10))))),"-",10*LOG(1/24*(13*(10^(G35/10))+3*(10^((H35+5)/10))+8*(10^((I35+10)/10)))))</f>
        <v>44.55115100582529</v>
      </c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2:31" ht="15.75" customHeight="1" x14ac:dyDescent="0.2">
      <c r="C36" s="133">
        <f>(C35*3600)/1000</f>
        <v>0</v>
      </c>
      <c r="D36" s="16" t="s">
        <v>83</v>
      </c>
      <c r="E36" s="22"/>
      <c r="F36" s="14"/>
      <c r="G36" s="15"/>
      <c r="H36" s="15"/>
      <c r="I36" s="15"/>
      <c r="J36" s="15"/>
      <c r="K36" s="16"/>
      <c r="L36" s="22"/>
      <c r="M36" s="22"/>
      <c r="O36" s="20"/>
      <c r="P36" s="20"/>
      <c r="Q36" s="20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2:31" ht="6" customHeight="1" x14ac:dyDescent="0.2">
      <c r="E37" s="22"/>
      <c r="G37" s="22"/>
      <c r="H37" s="22"/>
      <c r="I37" s="22"/>
      <c r="J37" s="23"/>
      <c r="K37" s="22"/>
      <c r="L37" s="22"/>
      <c r="M37" s="22"/>
      <c r="O37" s="20"/>
      <c r="P37" s="20"/>
      <c r="Q37" s="20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2:31" ht="6" customHeight="1" x14ac:dyDescent="0.2">
      <c r="E38" s="22"/>
      <c r="G38" s="22"/>
      <c r="H38" s="22"/>
      <c r="I38" s="22"/>
      <c r="J38" s="23"/>
      <c r="K38" s="22"/>
      <c r="L38" s="22"/>
      <c r="M38" s="22"/>
      <c r="O38" s="20"/>
      <c r="P38" s="20"/>
      <c r="Q38" s="20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2:31" ht="6" customHeight="1" x14ac:dyDescent="0.2">
      <c r="E39" s="22"/>
      <c r="M39" s="22"/>
      <c r="O39" s="20"/>
      <c r="P39" s="20"/>
      <c r="Q39" s="20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2:31" ht="14.1" customHeight="1" x14ac:dyDescent="0.2">
      <c r="E40" s="22"/>
      <c r="F40" s="35"/>
      <c r="G40" s="62"/>
      <c r="H40" s="62"/>
      <c r="I40" s="62"/>
      <c r="J40" s="62"/>
      <c r="K40" s="36"/>
      <c r="O40" s="20"/>
      <c r="P40" s="20"/>
      <c r="Q40" s="20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2:31" ht="17.100000000000001" customHeight="1" x14ac:dyDescent="0.2">
      <c r="E41" s="22"/>
      <c r="F41" s="37"/>
      <c r="G41" s="63" t="s">
        <v>23</v>
      </c>
      <c r="H41" s="64"/>
      <c r="I41" s="64"/>
      <c r="J41" s="65"/>
      <c r="K41" s="40"/>
      <c r="O41" s="20"/>
      <c r="P41" s="20"/>
      <c r="Q41" s="20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2:31" ht="18.95" customHeight="1" x14ac:dyDescent="0.2">
      <c r="E42" s="22"/>
      <c r="F42" s="37"/>
      <c r="G42" s="38" t="s">
        <v>53</v>
      </c>
      <c r="H42" s="38" t="s">
        <v>54</v>
      </c>
      <c r="I42" s="38" t="s">
        <v>55</v>
      </c>
      <c r="J42" s="39" t="s">
        <v>48</v>
      </c>
      <c r="K42" s="40"/>
      <c r="M42" s="22"/>
      <c r="O42" s="20"/>
      <c r="P42" s="20"/>
      <c r="Q42" s="20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3" spans="2:31" ht="18" customHeight="1" x14ac:dyDescent="0.2">
      <c r="E43" s="22"/>
      <c r="F43" s="102" t="s">
        <v>75</v>
      </c>
      <c r="G43" s="41">
        <f>IF(($R$17)="","-",$R$17)</f>
        <v>35.090335738139842</v>
      </c>
      <c r="H43" s="41">
        <f>IF(($R$17)="","-",$R$17)</f>
        <v>35.090335738139842</v>
      </c>
      <c r="I43" s="41">
        <f>IF(($R$17)="","-",$R$17)</f>
        <v>35.090335738139842</v>
      </c>
      <c r="J43" s="126">
        <f>IF(ISERROR(10*LOG(1/24*(13*(10^(G43/10))+3*(10^((H43+5)/10))+8*(10^((I43+10)/10))))),"-",10*LOG(1/24*(13*(10^(G43/10))+3*(10^((H43+5)/10))+8*(10^((I43+10)/10)))))</f>
        <v>41.394904049943655</v>
      </c>
      <c r="K43" s="42" t="s">
        <v>22</v>
      </c>
      <c r="M43" s="22"/>
      <c r="O43" s="20"/>
      <c r="P43" s="20"/>
      <c r="Q43" s="20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</row>
    <row r="44" spans="2:31" ht="6.95" customHeight="1" x14ac:dyDescent="0.2">
      <c r="E44" s="22"/>
      <c r="F44" s="43"/>
      <c r="G44" s="44"/>
      <c r="H44" s="44"/>
      <c r="I44" s="44"/>
      <c r="J44" s="127"/>
      <c r="K44" s="40"/>
      <c r="M44" s="22"/>
      <c r="O44" s="20"/>
      <c r="P44" s="20"/>
      <c r="Q44" s="20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</row>
    <row r="45" spans="2:31" ht="12.75" customHeight="1" x14ac:dyDescent="0.2">
      <c r="E45" s="22"/>
      <c r="F45" s="102" t="s">
        <v>76</v>
      </c>
      <c r="G45" s="41">
        <f>IF(($R$25)="","-",$R$25)</f>
        <v>23.76033573813983</v>
      </c>
      <c r="H45" s="41">
        <f>IF(($R$25)="","-",$R$25)</f>
        <v>23.76033573813983</v>
      </c>
      <c r="I45" s="41">
        <f>IF(($R$25)="","-",$R$25)</f>
        <v>23.76033573813983</v>
      </c>
      <c r="J45" s="126">
        <f>IF(ISERROR(10*LOG(1/24*(13*(10^(G45/10))+3*(10^((H45+5)/10))+8*(10^((I45+10)/10))))),"-",10*LOG(1/24*(13*(10^(G45/10))+3*(10^((H45+5)/10))+8*(10^((I45+10)/10)))))</f>
        <v>30.064904049943646</v>
      </c>
      <c r="K45" s="42" t="s">
        <v>22</v>
      </c>
      <c r="M45" s="22"/>
      <c r="O45" s="20"/>
      <c r="P45" s="20"/>
      <c r="Q45" s="20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2:31" ht="21" customHeight="1" x14ac:dyDescent="0.2">
      <c r="E46" s="22"/>
      <c r="F46" s="37"/>
      <c r="G46" s="44"/>
      <c r="H46" s="44"/>
      <c r="I46" s="44"/>
      <c r="J46" s="127"/>
      <c r="K46" s="40"/>
      <c r="L46" s="22"/>
      <c r="M46" s="22"/>
      <c r="O46" s="20"/>
      <c r="P46" s="20"/>
      <c r="Q46" s="20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2:31" ht="21" customHeight="1" x14ac:dyDescent="0.2">
      <c r="E47" s="22"/>
      <c r="F47" s="66" t="s">
        <v>52</v>
      </c>
      <c r="G47" s="70">
        <f>IF(($R$29)="","-",$R$29)</f>
        <v>25.530865629517997</v>
      </c>
      <c r="H47" s="70">
        <f>IF(($R$29)="","-",$R$29)</f>
        <v>25.530865629517997</v>
      </c>
      <c r="I47" s="70">
        <f>IF(($R$29)="","-",$R$29)</f>
        <v>25.530865629517997</v>
      </c>
      <c r="J47" s="128">
        <f>IF(ISERROR(10*LOG(1/24*(13*(10^(G47/10))+3*(10^((H47+5)/10))+8*(10^((I47+10)/10))))),"-",10*LOG(1/24*(13*(10^(G47/10))+3*(10^((H47+5)/10))+8*(10^((I47+10)/10)))))</f>
        <v>31.835433941321813</v>
      </c>
      <c r="K47" s="42" t="s">
        <v>22</v>
      </c>
      <c r="L47" s="22"/>
      <c r="M47" s="2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2:31" ht="12" customHeight="1" x14ac:dyDescent="0.2">
      <c r="F48" s="67"/>
      <c r="G48" s="68"/>
      <c r="H48" s="68"/>
      <c r="I48" s="68"/>
      <c r="J48" s="68"/>
      <c r="K48" s="69"/>
      <c r="M48" s="2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5:31" ht="6" customHeight="1" x14ac:dyDescent="0.2">
      <c r="E49" s="2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5:31" ht="6" customHeight="1" x14ac:dyDescent="0.2"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5:31" ht="12" customHeight="1" x14ac:dyDescent="0.2">
      <c r="F51" s="45"/>
      <c r="G51" s="46"/>
      <c r="H51" s="46"/>
      <c r="I51" s="46"/>
      <c r="J51" s="46"/>
      <c r="K51" s="47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5:31" ht="17.100000000000001" customHeight="1" x14ac:dyDescent="0.25">
      <c r="F52" s="48"/>
      <c r="G52" s="49" t="s">
        <v>50</v>
      </c>
      <c r="H52" s="50"/>
      <c r="I52" s="50"/>
      <c r="J52" s="51"/>
      <c r="K52" s="5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5:31" ht="18.75" customHeight="1" x14ac:dyDescent="0.2">
      <c r="F53" s="48"/>
      <c r="G53" s="53" t="s">
        <v>53</v>
      </c>
      <c r="H53" s="53" t="s">
        <v>54</v>
      </c>
      <c r="I53" s="53" t="s">
        <v>55</v>
      </c>
      <c r="J53" s="54" t="s">
        <v>48</v>
      </c>
      <c r="K53" s="5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5:31" ht="33.75" customHeight="1" x14ac:dyDescent="0.2">
      <c r="F54" s="48"/>
      <c r="G54" s="115">
        <f>ROUND(IF(ISERROR(10*LOG10(10^($G$47/10)+10^(G35/10))),G35,10*LOG10(10^($G$47/10)+10^(G35/10))),1)</f>
        <v>41</v>
      </c>
      <c r="H54" s="115">
        <f>ROUND(IF(ISERROR(10*LOG10(10^($H$47/10)+10^(H35/10))),H35,10*LOG10(10^($H$47/10)+10^(H35/10))),1)</f>
        <v>38.5</v>
      </c>
      <c r="I54" s="115">
        <f>ROUND(IF(ISERROR(10*LOG10(10^($I$47/10)+10^(I35/10))),I35,10*LOG10(10^($I$47/10)+10^(I35/10))),1)</f>
        <v>37.9</v>
      </c>
      <c r="J54" s="138">
        <f>IF(R54&lt;7,0,R54)</f>
        <v>44.795860697459595</v>
      </c>
      <c r="K54" s="55" t="s">
        <v>22</v>
      </c>
      <c r="R54" s="140">
        <f>IF(ISERROR(10*LOG(1/24*(13*(10^(G54/10))+3*(10^((H54+5)/10))+8*(10^((I54+10)/10))))),"-",10*LOG(1/24*(13*(10^(G54/10))+3*(10^((H54+5)/10))+8*(10^((I54+10)/10)))))</f>
        <v>44.795860697459595</v>
      </c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5:31" ht="18" customHeight="1" x14ac:dyDescent="0.2">
      <c r="F55" s="48"/>
      <c r="G55" s="56"/>
      <c r="H55" s="56"/>
      <c r="I55" s="56"/>
      <c r="J55" s="56"/>
      <c r="K55" s="5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5:31" ht="17.100000000000001" customHeight="1" x14ac:dyDescent="0.2">
      <c r="F56" s="57" t="s">
        <v>73</v>
      </c>
      <c r="G56" s="58" t="str">
        <f>IF(G54&lt;=45,"-",G54-G35)</f>
        <v>-</v>
      </c>
      <c r="H56" s="58" t="str">
        <f>IF(H54&lt;=45,"-",H54-H35)</f>
        <v>-</v>
      </c>
      <c r="I56" s="58" t="str">
        <f>IF(I54&lt;=45,"-",I54-I35)</f>
        <v>-</v>
      </c>
      <c r="J56" s="56"/>
      <c r="K56" s="5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5:31" x14ac:dyDescent="0.2">
      <c r="F57" s="59"/>
      <c r="G57" s="60"/>
      <c r="H57" s="60"/>
      <c r="I57" s="60"/>
      <c r="J57" s="60"/>
      <c r="K57" s="61"/>
    </row>
    <row r="82" spans="2:7" ht="15" x14ac:dyDescent="0.25">
      <c r="B82" s="29" t="s">
        <v>20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2 para CALB A</v>
      </c>
      <c r="D83" s="145"/>
      <c r="E83" s="145"/>
      <c r="F83" s="145"/>
      <c r="G83" s="149"/>
    </row>
    <row r="84" spans="2:7" ht="15" x14ac:dyDescent="0.25">
      <c r="B84" s="30" t="s">
        <v>5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21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16</v>
      </c>
      <c r="C86" s="150" t="str">
        <f>C9</f>
        <v>Ponto 2 (Apoio QA)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100" spans="3:7" x14ac:dyDescent="0.2">
      <c r="C100" s="144"/>
      <c r="D100" s="144"/>
    </row>
    <row r="101" spans="3:7" x14ac:dyDescent="0.2">
      <c r="C101" s="117">
        <f>G16</f>
        <v>-11.2</v>
      </c>
      <c r="D101" s="84">
        <f>H16</f>
        <v>0</v>
      </c>
      <c r="E101" s="120">
        <f>I16</f>
        <v>11.2</v>
      </c>
      <c r="F101" s="100">
        <f>H29</f>
        <v>70</v>
      </c>
      <c r="G101" t="s">
        <v>27</v>
      </c>
    </row>
    <row r="102" spans="3:7" x14ac:dyDescent="0.2">
      <c r="E102" s="144"/>
    </row>
    <row r="103" spans="3:7" x14ac:dyDescent="0.2">
      <c r="E103" s="144"/>
    </row>
    <row r="104" spans="3:7" x14ac:dyDescent="0.2">
      <c r="C104" s="144"/>
      <c r="D104" s="144"/>
      <c r="E104" s="144"/>
    </row>
    <row r="105" spans="3:7" x14ac:dyDescent="0.2">
      <c r="C105" s="117">
        <f>G24</f>
        <v>14</v>
      </c>
      <c r="D105" s="84">
        <f>H24</f>
        <v>14</v>
      </c>
      <c r="E105" s="120">
        <f>I24</f>
        <v>14</v>
      </c>
    </row>
    <row r="106" spans="3:7" x14ac:dyDescent="0.2">
      <c r="E106" s="144"/>
      <c r="G106" s="99">
        <f>M26</f>
        <v>1.5</v>
      </c>
    </row>
    <row r="107" spans="3:7" x14ac:dyDescent="0.2">
      <c r="E107" s="144"/>
      <c r="G107" s="144"/>
    </row>
    <row r="108" spans="3:7" x14ac:dyDescent="0.2">
      <c r="C108" s="84">
        <f>H20</f>
        <v>3.18</v>
      </c>
      <c r="D108" s="144"/>
      <c r="E108" s="144"/>
      <c r="G108" s="155">
        <f>J29</f>
        <v>156</v>
      </c>
    </row>
    <row r="109" spans="3:7" x14ac:dyDescent="0.2">
      <c r="D109" s="144"/>
      <c r="E109" s="144"/>
      <c r="G109" s="156"/>
    </row>
    <row r="110" spans="3:7" x14ac:dyDescent="0.2">
      <c r="C110" s="144"/>
      <c r="D110" s="144"/>
      <c r="E110" s="144"/>
    </row>
    <row r="111" spans="3:7" x14ac:dyDescent="0.2">
      <c r="E111" s="144"/>
    </row>
    <row r="112" spans="3:7" x14ac:dyDescent="0.2">
      <c r="C112" s="118">
        <f>K16</f>
        <v>15.32</v>
      </c>
      <c r="D112" s="119">
        <f>L16</f>
        <v>15.81</v>
      </c>
      <c r="E112" s="121">
        <f>M16</f>
        <v>15.32</v>
      </c>
      <c r="G112" s="157" t="str">
        <f>IF(P6=1,"Minho",IF(P6=2,"Trás-os-Montes",IF(P6=3,"centro","sul")))</f>
        <v>sul</v>
      </c>
    </row>
    <row r="113" spans="1:7" x14ac:dyDescent="0.2">
      <c r="G113" s="157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53</v>
      </c>
      <c r="D117" s="134" t="s">
        <v>54</v>
      </c>
      <c r="E117" s="134" t="s">
        <v>55</v>
      </c>
      <c r="F117" s="134" t="s">
        <v>48</v>
      </c>
    </row>
    <row r="118" spans="1:7" x14ac:dyDescent="0.2">
      <c r="C118" s="92">
        <f>G35</f>
        <v>40.9</v>
      </c>
      <c r="D118" s="93">
        <f>H35</f>
        <v>38.299999999999997</v>
      </c>
      <c r="E118" s="93">
        <f>I35</f>
        <v>37.6</v>
      </c>
      <c r="F118" s="106">
        <f>J35</f>
        <v>44.6</v>
      </c>
      <c r="G118" t="s">
        <v>22</v>
      </c>
    </row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53</v>
      </c>
      <c r="D125" s="134" t="s">
        <v>54</v>
      </c>
      <c r="E125" s="134" t="s">
        <v>55</v>
      </c>
      <c r="F125" s="134" t="s">
        <v>48</v>
      </c>
    </row>
    <row r="127" spans="1:7" x14ac:dyDescent="0.2">
      <c r="B127" s="97" t="s">
        <v>71</v>
      </c>
      <c r="C127" s="98">
        <f>G43</f>
        <v>35.090335738139842</v>
      </c>
      <c r="D127" s="98">
        <f>H43</f>
        <v>35.090335738139842</v>
      </c>
      <c r="E127" s="98">
        <f>I43</f>
        <v>35.090335738139842</v>
      </c>
      <c r="F127" s="98">
        <f>J43</f>
        <v>41.394904049943655</v>
      </c>
      <c r="G127" s="94" t="s">
        <v>22</v>
      </c>
    </row>
    <row r="128" spans="1:7" x14ac:dyDescent="0.2">
      <c r="B128" s="96" t="s">
        <v>72</v>
      </c>
      <c r="C128" s="77">
        <f>G45</f>
        <v>23.76033573813983</v>
      </c>
      <c r="D128" s="77">
        <f>H45</f>
        <v>23.76033573813983</v>
      </c>
      <c r="E128" s="77">
        <f>I45</f>
        <v>23.76033573813983</v>
      </c>
      <c r="F128" s="77">
        <f>J45</f>
        <v>30.064904049943646</v>
      </c>
      <c r="G128" s="94" t="s">
        <v>22</v>
      </c>
    </row>
    <row r="131" spans="3:7" x14ac:dyDescent="0.2">
      <c r="C131" s="104">
        <f>G47</f>
        <v>25.530865629517997</v>
      </c>
      <c r="D131" s="104">
        <f>H47</f>
        <v>25.530865629517997</v>
      </c>
      <c r="E131" s="104">
        <f>I47</f>
        <v>25.530865629517997</v>
      </c>
      <c r="F131" s="101">
        <f>J47</f>
        <v>31.835433941321813</v>
      </c>
      <c r="G131" s="105" t="s">
        <v>22</v>
      </c>
    </row>
    <row r="132" spans="3:7" x14ac:dyDescent="0.2">
      <c r="C132" s="144"/>
      <c r="D132" s="144"/>
      <c r="E132" s="144"/>
      <c r="F132" s="144"/>
    </row>
    <row r="137" spans="3:7" x14ac:dyDescent="0.2">
      <c r="C137" s="135" t="s">
        <v>53</v>
      </c>
      <c r="D137" s="135" t="s">
        <v>54</v>
      </c>
      <c r="E137" s="135" t="s">
        <v>55</v>
      </c>
      <c r="F137" s="135" t="s">
        <v>48</v>
      </c>
    </row>
    <row r="138" spans="3:7" ht="18.75" customHeight="1" x14ac:dyDescent="0.2">
      <c r="C138" s="95">
        <f>G54</f>
        <v>41</v>
      </c>
      <c r="D138" s="95">
        <f>H54</f>
        <v>38.5</v>
      </c>
      <c r="E138" s="95">
        <f>I54</f>
        <v>37.9</v>
      </c>
      <c r="F138" s="101">
        <f>J54</f>
        <v>44.795860697459595</v>
      </c>
      <c r="G138" s="105" t="s">
        <v>22</v>
      </c>
    </row>
  </sheetData>
  <mergeCells count="9">
    <mergeCell ref="C88:D88"/>
    <mergeCell ref="G108:G109"/>
    <mergeCell ref="G112:G113"/>
    <mergeCell ref="C4:E4"/>
    <mergeCell ref="C5:D5"/>
    <mergeCell ref="C6:E6"/>
    <mergeCell ref="C7:E7"/>
    <mergeCell ref="C8:E8"/>
    <mergeCell ref="C9:E9"/>
  </mergeCells>
  <pageMargins left="1.5354330708661419" right="0.74803149606299213" top="0.98425196850393704" bottom="0.98425196850393704" header="0.51181102362204722" footer="0.51181102362204722"/>
  <pageSetup fitToWidth="0"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Lista pendente 1">
              <controlPr defaultSize="0" autoLine="0" autoPict="0">
                <anchor moveWithCells="1">
                  <from>
                    <xdr:col>11</xdr:col>
                    <xdr:colOff>57150</xdr:colOff>
                    <xdr:row>20</xdr:row>
                    <xdr:rowOff>0</xdr:rowOff>
                  </from>
                  <to>
                    <xdr:col>13</xdr:col>
                    <xdr:colOff>466725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E138"/>
  <sheetViews>
    <sheetView showGridLines="0" topLeftCell="A45" zoomScale="130" zoomScaleNormal="130" workbookViewId="0">
      <selection activeCell="A82" sqref="A82:G138"/>
    </sheetView>
  </sheetViews>
  <sheetFormatPr defaultColWidth="11.42578125" defaultRowHeight="12.75" x14ac:dyDescent="0.2"/>
  <cols>
    <col min="1" max="1" width="10.140625" customWidth="1" collapsed="1"/>
    <col min="2" max="2" width="12.7109375" customWidth="1" collapsed="1"/>
    <col min="3" max="4" width="11.42578125" customWidth="1" collapsed="1"/>
    <col min="5" max="5" width="10.42578125" customWidth="1" collapsed="1"/>
    <col min="6" max="6" width="11.42578125" customWidth="1" collapsed="1"/>
    <col min="7" max="7" width="11.7109375" customWidth="1" collapsed="1"/>
  </cols>
  <sheetData>
    <row r="1" spans="2:31" x14ac:dyDescent="0.2">
      <c r="N1" s="20"/>
      <c r="O1" s="20"/>
      <c r="P1" s="20"/>
      <c r="Q1" s="20"/>
      <c r="R1" s="136"/>
      <c r="S1" s="136"/>
      <c r="T1" s="136"/>
      <c r="U1" s="136"/>
      <c r="V1" s="136"/>
      <c r="W1" s="136"/>
      <c r="X1" s="20"/>
    </row>
    <row r="2" spans="2:31" x14ac:dyDescent="0.2">
      <c r="N2" s="20"/>
      <c r="O2" s="20"/>
      <c r="Q2" s="20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21" t="s">
        <v>29</v>
      </c>
      <c r="AD2" s="132"/>
      <c r="AE2" s="132"/>
    </row>
    <row r="3" spans="2:31" x14ac:dyDescent="0.2">
      <c r="N3" s="20"/>
      <c r="O3" s="20"/>
      <c r="Q3" s="20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21" t="s">
        <v>40</v>
      </c>
      <c r="AD3" s="132"/>
      <c r="AE3" s="132"/>
    </row>
    <row r="4" spans="2:31" ht="20.100000000000001" customHeight="1" x14ac:dyDescent="0.25">
      <c r="B4" s="29" t="s">
        <v>68</v>
      </c>
      <c r="C4" s="158" t="s">
        <v>85</v>
      </c>
      <c r="D4" s="159"/>
      <c r="E4" s="160"/>
      <c r="N4" s="20"/>
      <c r="O4" s="20"/>
      <c r="Q4" s="20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21" t="s">
        <v>30</v>
      </c>
      <c r="AD4" s="132"/>
      <c r="AE4" s="132"/>
    </row>
    <row r="5" spans="2:31" ht="17.100000000000001" customHeight="1" x14ac:dyDescent="0.25">
      <c r="B5" s="30" t="s">
        <v>74</v>
      </c>
      <c r="C5" s="161" t="s">
        <v>85</v>
      </c>
      <c r="D5" s="161"/>
      <c r="E5" s="24"/>
      <c r="N5" s="20"/>
      <c r="O5" s="20"/>
      <c r="Q5" s="20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20" t="s">
        <v>69</v>
      </c>
      <c r="AD5" s="132"/>
      <c r="AE5" s="132"/>
    </row>
    <row r="6" spans="2:31" ht="17.100000000000001" customHeight="1" x14ac:dyDescent="0.25">
      <c r="B6" s="30" t="s">
        <v>67</v>
      </c>
      <c r="C6" s="162" t="s">
        <v>89</v>
      </c>
      <c r="D6" s="163"/>
      <c r="E6" s="164"/>
      <c r="N6" s="20"/>
      <c r="O6" s="20"/>
      <c r="P6" s="130">
        <v>4</v>
      </c>
      <c r="Q6" s="131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</row>
    <row r="7" spans="2:31" ht="17.100000000000001" customHeight="1" x14ac:dyDescent="0.25">
      <c r="B7" s="30" t="s">
        <v>5</v>
      </c>
      <c r="C7" s="162" t="s">
        <v>88</v>
      </c>
      <c r="D7" s="165"/>
      <c r="E7" s="166"/>
      <c r="N7" s="20"/>
      <c r="O7" s="20"/>
      <c r="P7" s="130">
        <v>1</v>
      </c>
      <c r="Q7" s="131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</row>
    <row r="8" spans="2:31" ht="17.100000000000001" customHeight="1" x14ac:dyDescent="0.25">
      <c r="B8" s="30" t="s">
        <v>42</v>
      </c>
      <c r="C8" s="162" t="s">
        <v>86</v>
      </c>
      <c r="D8" s="163"/>
      <c r="E8" s="166"/>
      <c r="N8" s="20"/>
      <c r="O8" s="20"/>
      <c r="P8" s="131"/>
      <c r="Q8" s="131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</row>
    <row r="9" spans="2:31" ht="16.5" customHeight="1" x14ac:dyDescent="0.25">
      <c r="B9" s="31" t="s">
        <v>16</v>
      </c>
      <c r="C9" s="167" t="s">
        <v>90</v>
      </c>
      <c r="D9" s="168"/>
      <c r="E9" s="169"/>
      <c r="N9" s="20"/>
      <c r="O9" s="20"/>
      <c r="P9" s="131"/>
      <c r="Q9" s="131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</row>
    <row r="10" spans="2:31" x14ac:dyDescent="0.2">
      <c r="N10" s="20"/>
      <c r="O10" s="20"/>
      <c r="P10" s="131"/>
      <c r="Q10" s="131"/>
      <c r="R10" s="132">
        <v>1</v>
      </c>
      <c r="S10" s="132">
        <v>2</v>
      </c>
      <c r="T10" s="132">
        <v>3</v>
      </c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</row>
    <row r="11" spans="2:31" x14ac:dyDescent="0.2">
      <c r="N11" s="20"/>
      <c r="O11" s="20"/>
      <c r="P11" s="131"/>
      <c r="Q11" s="131" t="s">
        <v>31</v>
      </c>
      <c r="R11" s="132">
        <f>IF(ISERROR(-109.6+120*LOG10(K16)+55*LOG10(G20)),"",-109.6+120*LOG10(K16)+55*LOG10(G20))</f>
        <v>60.264543434734023</v>
      </c>
      <c r="S11" s="132">
        <f>IF(ISERROR(-109.6+120*LOG10(L16)+55*LOG10(H20)),"",-109.6+120*LOG10(L16)+55*LOG10(H20))</f>
        <v>61.905315991008891</v>
      </c>
      <c r="T11" s="132">
        <f>IF(ISERROR(-109.6+120*LOG10(M16)+55*LOG10(I20)),"",-109.6+120*LOG10(M16)+55*LOG10(I20))</f>
        <v>60.264543434734023</v>
      </c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</row>
    <row r="12" spans="2:31" ht="17.100000000000001" customHeight="1" x14ac:dyDescent="0.25">
      <c r="F12" s="1"/>
      <c r="G12" s="2"/>
      <c r="H12" s="2"/>
      <c r="I12" s="3" t="s">
        <v>32</v>
      </c>
      <c r="J12" s="2"/>
      <c r="K12" s="2"/>
      <c r="L12" s="2"/>
      <c r="M12" s="2"/>
      <c r="N12" s="4"/>
      <c r="O12" s="20"/>
      <c r="P12" s="131"/>
      <c r="Q12" s="131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</row>
    <row r="13" spans="2:31" x14ac:dyDescent="0.2">
      <c r="F13" s="5"/>
      <c r="G13" s="6"/>
      <c r="H13" s="6"/>
      <c r="I13" s="6"/>
      <c r="J13" s="6"/>
      <c r="K13" s="6"/>
      <c r="L13" s="6"/>
      <c r="M13" s="6"/>
      <c r="N13" s="7"/>
      <c r="O13" s="20"/>
      <c r="P13" s="131"/>
      <c r="Q13" s="131"/>
      <c r="R13" s="132">
        <f>SQRT((G16-$J$29)^2+((G24+H29)-($M$26+M29))^2)</f>
        <v>121.74436331921081</v>
      </c>
      <c r="S13" s="132">
        <f>SQRT((H16-$J$29)^2+((H24+H29)-($M$26+M29))^2)</f>
        <v>110.59950271135942</v>
      </c>
      <c r="T13" s="132">
        <f>SQRT((I16-$J$29)^2+((I24+H29)-($M$26+M29))^2)</f>
        <v>99.467029713367836</v>
      </c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</row>
    <row r="14" spans="2:31" x14ac:dyDescent="0.2">
      <c r="F14" s="5"/>
      <c r="G14" s="6"/>
      <c r="H14" s="6"/>
      <c r="I14" s="6"/>
      <c r="J14" s="6"/>
      <c r="K14" s="6"/>
      <c r="L14" s="6"/>
      <c r="M14" s="6"/>
      <c r="N14" s="7"/>
      <c r="O14" s="20"/>
      <c r="P14" s="131"/>
      <c r="Q14" s="131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</row>
    <row r="15" spans="2:31" ht="15" customHeight="1" x14ac:dyDescent="0.25">
      <c r="F15" s="5"/>
      <c r="G15" s="8" t="s">
        <v>33</v>
      </c>
      <c r="H15" s="6"/>
      <c r="I15" s="6"/>
      <c r="J15" s="6"/>
      <c r="K15" s="8" t="s">
        <v>34</v>
      </c>
      <c r="L15" s="6"/>
      <c r="M15" s="6"/>
      <c r="N15" s="7"/>
      <c r="O15" s="20"/>
      <c r="P15" s="131"/>
      <c r="Q15" s="131"/>
      <c r="R15" s="132">
        <f>IF(ISERROR(R11-11.4*LOG10(R13)-5.8+($H$29/300)),"",R11-11.4*LOG10(R13)-5.8+($H$29/300))</f>
        <v>30.927093065314921</v>
      </c>
      <c r="S15" s="132">
        <f>IF(ISERROR(S11-11.4*LOG10(S13)-5.8+($H$29/300)),"",S11-11.4*LOG10(S13)-5.8+($H$29/300))</f>
        <v>33.043196471175264</v>
      </c>
      <c r="T15" s="132">
        <f>IF(ISERROR(T11-11.4*LOG10(T13)-5.8+($H$29/300)),"",T11-11.4*LOG10(T13)-5.8+($H$29/300))</f>
        <v>31.927667800247349</v>
      </c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</row>
    <row r="16" spans="2:31" ht="24.75" customHeight="1" x14ac:dyDescent="0.2">
      <c r="F16" s="5"/>
      <c r="G16" s="142">
        <v>-11.2</v>
      </c>
      <c r="H16" s="142">
        <v>0</v>
      </c>
      <c r="I16" s="142">
        <f>G16*-1</f>
        <v>11.2</v>
      </c>
      <c r="J16" s="6"/>
      <c r="K16" s="75">
        <v>15.32</v>
      </c>
      <c r="L16" s="75">
        <v>15.81</v>
      </c>
      <c r="M16" s="75">
        <v>15.32</v>
      </c>
      <c r="N16" s="7"/>
      <c r="O16" s="20"/>
      <c r="P16" s="131"/>
      <c r="Q16" s="131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</row>
    <row r="17" spans="6:31" ht="14.1" customHeight="1" x14ac:dyDescent="0.2">
      <c r="F17" s="5"/>
      <c r="G17" s="6"/>
      <c r="H17" s="9" t="s">
        <v>35</v>
      </c>
      <c r="I17" s="6"/>
      <c r="J17" s="6"/>
      <c r="K17" s="6"/>
      <c r="L17" s="9" t="s">
        <v>35</v>
      </c>
      <c r="M17" s="6"/>
      <c r="N17" s="7"/>
      <c r="O17" s="20"/>
      <c r="P17" s="131"/>
      <c r="Q17" s="131" t="s">
        <v>14</v>
      </c>
      <c r="R17" s="132">
        <f>IF(ISERROR(10*LOG10(10^(R15/10)+10^(S15/10)+10^(T15/10))),"",10*LOG10(10^(R15/10)+10^(S15/10)+10^(T15/10)))</f>
        <v>36.82315676361609</v>
      </c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</row>
    <row r="18" spans="6:31" x14ac:dyDescent="0.2">
      <c r="F18" s="5"/>
      <c r="G18" s="6"/>
      <c r="H18" s="6"/>
      <c r="I18" s="6"/>
      <c r="J18" s="6"/>
      <c r="K18" s="6"/>
      <c r="L18" s="6"/>
      <c r="M18" s="6"/>
      <c r="N18" s="7"/>
      <c r="O18" s="20"/>
      <c r="P18" s="131"/>
      <c r="Q18" s="131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</row>
    <row r="19" spans="6:31" ht="15.75" x14ac:dyDescent="0.25">
      <c r="F19" s="5"/>
      <c r="G19" s="19" t="s">
        <v>39</v>
      </c>
      <c r="H19" s="19"/>
      <c r="I19" s="6"/>
      <c r="J19" s="6"/>
      <c r="K19" s="6"/>
      <c r="L19" s="6"/>
      <c r="M19" s="6"/>
      <c r="N19" s="7"/>
      <c r="O19" s="20"/>
      <c r="P19" s="131"/>
      <c r="Q19" s="131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</row>
    <row r="20" spans="6:31" ht="24.75" customHeight="1" x14ac:dyDescent="0.2">
      <c r="F20" s="5"/>
      <c r="G20" s="17">
        <v>3.18</v>
      </c>
      <c r="H20" s="17">
        <v>3.18</v>
      </c>
      <c r="I20" s="17">
        <v>3.18</v>
      </c>
      <c r="J20" s="6"/>
      <c r="K20" s="6"/>
      <c r="L20" s="6"/>
      <c r="M20" s="6"/>
      <c r="N20" s="7"/>
      <c r="O20" s="20"/>
      <c r="P20" s="131"/>
      <c r="Q20" s="131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</row>
    <row r="21" spans="6:31" x14ac:dyDescent="0.2">
      <c r="F21" s="5"/>
      <c r="G21" s="6"/>
      <c r="H21" s="9" t="s">
        <v>24</v>
      </c>
      <c r="I21" s="6"/>
      <c r="J21" s="6"/>
      <c r="K21" s="10"/>
      <c r="L21" s="6"/>
      <c r="M21" s="6"/>
      <c r="N21" s="7"/>
      <c r="O21" s="20"/>
      <c r="P21" s="131"/>
      <c r="Q21" s="131" t="s">
        <v>37</v>
      </c>
      <c r="R21" s="132">
        <f>IF(ISERROR(-120.93+120*LOG10(K16)+55*LOG10(G20)),"",-120.93+120*LOG10(K16)+55*LOG10(G20))</f>
        <v>48.93454343473401</v>
      </c>
      <c r="S21" s="132">
        <f>IF(ISERROR(-120.93+120*LOG10(L16)+55*LOG10(H20)),"",-120.93+120*LOG10(L16)+55*LOG10(H20))</f>
        <v>50.575315991008878</v>
      </c>
      <c r="T21" s="132">
        <f>IF(ISERROR(-120.93+120*LOG10(M16)+55*LOG10(I20)),"",-120.93+120*LOG10(M16)+55*LOG10(I20))</f>
        <v>48.93454343473401</v>
      </c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</row>
    <row r="22" spans="6:31" ht="24" customHeight="1" x14ac:dyDescent="0.2">
      <c r="F22" s="5"/>
      <c r="G22" s="6"/>
      <c r="H22" s="6"/>
      <c r="I22" s="6"/>
      <c r="J22" s="6"/>
      <c r="K22" s="10"/>
      <c r="L22" s="6"/>
      <c r="M22" s="6"/>
      <c r="N22" s="7"/>
      <c r="O22" s="20"/>
      <c r="P22" s="131"/>
      <c r="Q22" s="131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</row>
    <row r="23" spans="6:31" ht="15.75" x14ac:dyDescent="0.25">
      <c r="F23" s="5"/>
      <c r="G23" s="19" t="s">
        <v>41</v>
      </c>
      <c r="H23" s="19"/>
      <c r="I23" s="19"/>
      <c r="J23" s="6"/>
      <c r="K23" s="10"/>
      <c r="L23" s="6"/>
      <c r="M23" s="6"/>
      <c r="N23" s="7"/>
      <c r="O23" s="20"/>
      <c r="P23" s="131"/>
      <c r="Q23" s="131"/>
      <c r="R23" s="132">
        <f>IF(ISERROR(R21-11.4*LOG10(R13)-5.8+($H$29/300)),"",R21-11.4*LOG10(R13)-5.8+($H$29/300))</f>
        <v>19.597093065314912</v>
      </c>
      <c r="S23" s="132">
        <f>IF(ISERROR(S21-11.4*LOG10(S13)-5.8+($H$29/300)),"",S21-11.4*LOG10(S13)-5.8+($H$29/300))</f>
        <v>21.713196471175255</v>
      </c>
      <c r="T23" s="132">
        <f>IF(ISERROR(T21-11.4*LOG10(T13)-5.8+($H$29/300)),"",T21-11.4*LOG10(T13)-5.8+($H$29/300))</f>
        <v>20.597667800247336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</row>
    <row r="24" spans="6:31" ht="24.75" customHeight="1" x14ac:dyDescent="0.25">
      <c r="F24" s="5"/>
      <c r="G24" s="17">
        <v>14</v>
      </c>
      <c r="H24" s="17">
        <v>14</v>
      </c>
      <c r="I24" s="17">
        <v>14</v>
      </c>
      <c r="J24" s="6"/>
      <c r="K24" s="111"/>
      <c r="L24" s="6"/>
      <c r="M24" s="11" t="s">
        <v>36</v>
      </c>
      <c r="N24" s="7"/>
      <c r="O24" s="20"/>
      <c r="P24" s="131"/>
      <c r="Q24" s="13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</row>
    <row r="25" spans="6:31" ht="14.1" customHeight="1" x14ac:dyDescent="0.2">
      <c r="F25" s="5"/>
      <c r="G25" s="6"/>
      <c r="H25" s="9" t="s">
        <v>24</v>
      </c>
      <c r="I25" s="6"/>
      <c r="J25" s="6"/>
      <c r="K25" s="6"/>
      <c r="L25" s="10"/>
      <c r="M25" s="6"/>
      <c r="N25" s="7"/>
      <c r="O25" s="20"/>
      <c r="P25" s="131"/>
      <c r="Q25" s="131" t="s">
        <v>43</v>
      </c>
      <c r="R25" s="132">
        <f>IF(ISERROR(10*LOG10(10^(R23/10)+10^(S23/10)+10^(T23/10))),"",10*LOG10(10^(R23/10)+10^(S23/10)+10^(T23/10)))</f>
        <v>25.493156763616081</v>
      </c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6:31" ht="26.1" customHeight="1" x14ac:dyDescent="0.2">
      <c r="F26" s="5"/>
      <c r="G26" s="6"/>
      <c r="H26" s="6"/>
      <c r="I26" s="6"/>
      <c r="J26" s="6"/>
      <c r="K26" s="6"/>
      <c r="L26" s="125" t="s">
        <v>66</v>
      </c>
      <c r="M26" s="18">
        <v>1.5</v>
      </c>
      <c r="N26" s="107" t="s">
        <v>80</v>
      </c>
      <c r="O26" s="20"/>
      <c r="P26" s="131"/>
      <c r="Q26" s="131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</row>
    <row r="27" spans="6:31" x14ac:dyDescent="0.2">
      <c r="F27" s="5"/>
      <c r="G27" s="6"/>
      <c r="H27" s="6"/>
      <c r="I27" s="6"/>
      <c r="J27" s="6"/>
      <c r="K27" s="6"/>
      <c r="L27" s="6"/>
      <c r="M27" s="6"/>
      <c r="N27" s="7"/>
      <c r="O27" s="20"/>
      <c r="P27" s="131"/>
      <c r="Q27" s="131" t="s">
        <v>44</v>
      </c>
      <c r="R27" s="132">
        <f>IF(P6=1,0.1,IF(P6=2,0.07,IF(P6=3,0.05,0.04)))</f>
        <v>0.04</v>
      </c>
      <c r="S27" s="132"/>
      <c r="T27" s="132">
        <f>IF(ISERROR(R17-R25),"",R17-R25)</f>
        <v>11.330000000000009</v>
      </c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</row>
    <row r="28" spans="6:31" ht="13.5" thickBot="1" x14ac:dyDescent="0.25">
      <c r="F28" s="5"/>
      <c r="G28" s="6"/>
      <c r="H28" s="6"/>
      <c r="I28" s="6"/>
      <c r="J28" s="6"/>
      <c r="K28" s="6"/>
      <c r="L28" s="6"/>
      <c r="M28" s="6"/>
      <c r="N28" s="7"/>
      <c r="O28" s="20"/>
      <c r="P28" s="131"/>
      <c r="Q28" s="131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</row>
    <row r="29" spans="6:31" ht="26.1" customHeight="1" thickBot="1" x14ac:dyDescent="0.25">
      <c r="F29" s="5"/>
      <c r="G29" s="12"/>
      <c r="H29" s="75">
        <v>71</v>
      </c>
      <c r="I29" s="13" t="s">
        <v>38</v>
      </c>
      <c r="J29" s="109">
        <v>110</v>
      </c>
      <c r="K29" s="110" t="s">
        <v>81</v>
      </c>
      <c r="L29" s="6"/>
      <c r="M29" s="124">
        <v>72</v>
      </c>
      <c r="N29" s="108" t="s">
        <v>80</v>
      </c>
      <c r="O29" s="20"/>
      <c r="P29" s="131"/>
      <c r="Q29" s="131" t="s">
        <v>15</v>
      </c>
      <c r="R29" s="132">
        <f>IF(ISERROR(10*LOG10(R27*(10^(R17/10))+(1-R27)*(10^(R25/10)))),"",10*LOG10(R27*(10^(R17/10))+(1-R27)*(10^(R25/10))))</f>
        <v>27.263686654994249</v>
      </c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</row>
    <row r="30" spans="6:31" ht="15" customHeight="1" x14ac:dyDescent="0.2">
      <c r="F30" s="14"/>
      <c r="G30" s="15"/>
      <c r="H30" s="15"/>
      <c r="I30" s="15"/>
      <c r="J30" s="15"/>
      <c r="K30" s="15"/>
      <c r="L30" s="15"/>
      <c r="M30" s="15"/>
      <c r="N30" s="16"/>
      <c r="O30" s="20"/>
      <c r="P30" s="131"/>
      <c r="Q30" s="131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</row>
    <row r="31" spans="6:31" x14ac:dyDescent="0.2">
      <c r="N31" s="20"/>
      <c r="O31" s="20"/>
      <c r="P31" s="131"/>
      <c r="Q31" s="131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</row>
    <row r="32" spans="6:31" x14ac:dyDescent="0.2">
      <c r="N32" s="20"/>
      <c r="O32" s="20"/>
      <c r="P32" s="131"/>
      <c r="Q32" s="131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</row>
    <row r="33" spans="2:31" ht="20.100000000000001" customHeight="1" x14ac:dyDescent="0.25">
      <c r="B33" s="103" t="s">
        <v>77</v>
      </c>
      <c r="C33" s="122">
        <v>14</v>
      </c>
      <c r="D33" s="4" t="s">
        <v>45</v>
      </c>
      <c r="F33" s="1"/>
      <c r="G33" s="27" t="s">
        <v>84</v>
      </c>
      <c r="H33" s="2"/>
      <c r="I33" s="2"/>
      <c r="J33" s="2"/>
      <c r="K33" s="4"/>
      <c r="N33" s="20"/>
      <c r="O33" s="20"/>
      <c r="P33" s="131"/>
      <c r="Q33" s="131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</row>
    <row r="34" spans="2:31" ht="27.75" customHeight="1" x14ac:dyDescent="0.25">
      <c r="B34" s="32" t="s">
        <v>46</v>
      </c>
      <c r="C34" s="123">
        <v>85</v>
      </c>
      <c r="D34" s="7" t="s">
        <v>47</v>
      </c>
      <c r="E34" s="22"/>
      <c r="F34" s="5"/>
      <c r="G34" s="25" t="s">
        <v>53</v>
      </c>
      <c r="H34" s="25" t="s">
        <v>54</v>
      </c>
      <c r="I34" s="25" t="s">
        <v>55</v>
      </c>
      <c r="J34" s="34" t="s">
        <v>48</v>
      </c>
      <c r="K34" s="7"/>
      <c r="L34" s="22"/>
      <c r="M34" s="22"/>
      <c r="O34" s="20"/>
      <c r="P34" s="131"/>
      <c r="Q34" s="131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2:31" ht="23.1" customHeight="1" x14ac:dyDescent="0.25">
      <c r="B35" s="33" t="s">
        <v>49</v>
      </c>
      <c r="C35" s="123">
        <v>0</v>
      </c>
      <c r="D35" s="7" t="s">
        <v>70</v>
      </c>
      <c r="E35" s="22"/>
      <c r="F35" s="5"/>
      <c r="G35" s="26">
        <v>40.9</v>
      </c>
      <c r="H35" s="26">
        <v>38.299999999999997</v>
      </c>
      <c r="I35" s="26">
        <v>37.6</v>
      </c>
      <c r="J35" s="129">
        <v>44.6</v>
      </c>
      <c r="K35" s="28" t="s">
        <v>28</v>
      </c>
      <c r="L35" s="22"/>
      <c r="M35" s="22"/>
      <c r="O35" s="20"/>
      <c r="P35" s="131"/>
      <c r="Q35" s="131"/>
      <c r="R35" s="139">
        <f>IF(ISERROR(10*LOG(1/24*(13*(10^(G35/10))+3*(10^((H35+5)/10))+8*(10^((I35+10)/10))))),"-",10*LOG(1/24*(13*(10^(G35/10))+3*(10^((H35+5)/10))+8*(10^((I35+10)/10)))))</f>
        <v>44.55115100582529</v>
      </c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</row>
    <row r="36" spans="2:31" ht="15.75" customHeight="1" x14ac:dyDescent="0.2">
      <c r="C36" s="133">
        <f>(C35*3600)/1000</f>
        <v>0</v>
      </c>
      <c r="D36" s="16" t="s">
        <v>83</v>
      </c>
      <c r="E36" s="22"/>
      <c r="F36" s="14"/>
      <c r="G36" s="15"/>
      <c r="H36" s="15"/>
      <c r="I36" s="15"/>
      <c r="J36" s="15"/>
      <c r="K36" s="16"/>
      <c r="L36" s="22"/>
      <c r="M36" s="22"/>
      <c r="O36" s="20"/>
      <c r="P36" s="20"/>
      <c r="Q36" s="20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</row>
    <row r="37" spans="2:31" ht="6" customHeight="1" x14ac:dyDescent="0.2">
      <c r="E37" s="22"/>
      <c r="G37" s="22"/>
      <c r="H37" s="22"/>
      <c r="I37" s="22"/>
      <c r="J37" s="23"/>
      <c r="K37" s="22"/>
      <c r="L37" s="22"/>
      <c r="M37" s="22"/>
      <c r="O37" s="20"/>
      <c r="P37" s="20"/>
      <c r="Q37" s="20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</row>
    <row r="38" spans="2:31" ht="6" customHeight="1" x14ac:dyDescent="0.2">
      <c r="E38" s="22"/>
      <c r="G38" s="22"/>
      <c r="H38" s="22"/>
      <c r="I38" s="22"/>
      <c r="J38" s="23"/>
      <c r="K38" s="22"/>
      <c r="L38" s="22"/>
      <c r="M38" s="22"/>
      <c r="O38" s="20"/>
      <c r="P38" s="20"/>
      <c r="Q38" s="20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</row>
    <row r="39" spans="2:31" ht="6" customHeight="1" x14ac:dyDescent="0.2">
      <c r="E39" s="22"/>
      <c r="M39" s="22"/>
      <c r="O39" s="20"/>
      <c r="P39" s="20"/>
      <c r="Q39" s="20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</row>
    <row r="40" spans="2:31" ht="14.1" customHeight="1" x14ac:dyDescent="0.2">
      <c r="E40" s="22"/>
      <c r="F40" s="35"/>
      <c r="G40" s="62"/>
      <c r="H40" s="62"/>
      <c r="I40" s="62"/>
      <c r="J40" s="62"/>
      <c r="K40" s="36"/>
      <c r="O40" s="20"/>
      <c r="P40" s="20"/>
      <c r="Q40" s="20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</row>
    <row r="41" spans="2:31" ht="17.100000000000001" customHeight="1" x14ac:dyDescent="0.2">
      <c r="E41" s="22"/>
      <c r="F41" s="37"/>
      <c r="G41" s="63" t="s">
        <v>51</v>
      </c>
      <c r="H41" s="64"/>
      <c r="I41" s="64"/>
      <c r="J41" s="65"/>
      <c r="K41" s="40"/>
      <c r="O41" s="20"/>
      <c r="P41" s="20"/>
      <c r="Q41" s="20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</row>
    <row r="42" spans="2:31" ht="18.95" customHeight="1" x14ac:dyDescent="0.2">
      <c r="E42" s="22"/>
      <c r="F42" s="37"/>
      <c r="G42" s="38" t="s">
        <v>53</v>
      </c>
      <c r="H42" s="38" t="s">
        <v>54</v>
      </c>
      <c r="I42" s="38" t="s">
        <v>55</v>
      </c>
      <c r="J42" s="39" t="s">
        <v>48</v>
      </c>
      <c r="K42" s="40"/>
      <c r="M42" s="22"/>
      <c r="O42" s="20"/>
      <c r="P42" s="20"/>
      <c r="Q42" s="20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</row>
    <row r="43" spans="2:31" ht="18" customHeight="1" x14ac:dyDescent="0.2">
      <c r="E43" s="22"/>
      <c r="F43" s="102" t="s">
        <v>75</v>
      </c>
      <c r="G43" s="41">
        <f>IF(($R$17)="","-",$R$17)</f>
        <v>36.82315676361609</v>
      </c>
      <c r="H43" s="41">
        <f>IF(($R$17)="","-",$R$17)</f>
        <v>36.82315676361609</v>
      </c>
      <c r="I43" s="41">
        <f>IF(($R$17)="","-",$R$17)</f>
        <v>36.82315676361609</v>
      </c>
      <c r="J43" s="126">
        <f>IF(ISERROR(10*LOG(1/24*(13*(10^(G43/10))+3*(10^((H43+5)/10))+8*(10^((I43+10)/10))))),"-",10*LOG(1/24*(13*(10^(G43/10))+3*(10^((H43+5)/10))+8*(10^((I43+10)/10)))))</f>
        <v>43.127725075419917</v>
      </c>
      <c r="K43" s="42" t="s">
        <v>28</v>
      </c>
      <c r="M43" s="22"/>
      <c r="O43" s="20"/>
      <c r="P43" s="20"/>
      <c r="Q43" s="20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</row>
    <row r="44" spans="2:31" ht="6.95" customHeight="1" x14ac:dyDescent="0.2">
      <c r="E44" s="22"/>
      <c r="F44" s="43"/>
      <c r="G44" s="44"/>
      <c r="H44" s="44"/>
      <c r="I44" s="44"/>
      <c r="J44" s="127"/>
      <c r="K44" s="40"/>
      <c r="M44" s="22"/>
      <c r="O44" s="20"/>
      <c r="P44" s="20"/>
      <c r="Q44" s="20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</row>
    <row r="45" spans="2:31" ht="12.75" customHeight="1" x14ac:dyDescent="0.2">
      <c r="E45" s="22"/>
      <c r="F45" s="102" t="s">
        <v>76</v>
      </c>
      <c r="G45" s="41">
        <f>IF(($R$25)="","-",$R$25)</f>
        <v>25.493156763616081</v>
      </c>
      <c r="H45" s="41">
        <f>IF(($R$25)="","-",$R$25)</f>
        <v>25.493156763616081</v>
      </c>
      <c r="I45" s="41">
        <f>IF(($R$25)="","-",$R$25)</f>
        <v>25.493156763616081</v>
      </c>
      <c r="J45" s="126">
        <f>IF(ISERROR(10*LOG(1/24*(13*(10^(G45/10))+3*(10^((H45+5)/10))+8*(10^((I45+10)/10))))),"-",10*LOG(1/24*(13*(10^(G45/10))+3*(10^((H45+5)/10))+8*(10^((I45+10)/10)))))</f>
        <v>31.797725075419898</v>
      </c>
      <c r="K45" s="42" t="s">
        <v>28</v>
      </c>
      <c r="M45" s="22"/>
      <c r="O45" s="20"/>
      <c r="P45" s="20"/>
      <c r="Q45" s="20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</row>
    <row r="46" spans="2:31" ht="21" customHeight="1" x14ac:dyDescent="0.2">
      <c r="E46" s="22"/>
      <c r="F46" s="37"/>
      <c r="G46" s="44"/>
      <c r="H46" s="44"/>
      <c r="I46" s="44"/>
      <c r="J46" s="127"/>
      <c r="K46" s="40"/>
      <c r="L46" s="22"/>
      <c r="M46" s="22"/>
      <c r="O46" s="20"/>
      <c r="P46" s="20"/>
      <c r="Q46" s="20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</row>
    <row r="47" spans="2:31" ht="21" customHeight="1" x14ac:dyDescent="0.2">
      <c r="E47" s="22"/>
      <c r="F47" s="66" t="s">
        <v>52</v>
      </c>
      <c r="G47" s="70">
        <f>IF(($R$29)="","-",$R$29)</f>
        <v>27.263686654994249</v>
      </c>
      <c r="H47" s="70">
        <f>IF(($R$29)="","-",$R$29)</f>
        <v>27.263686654994249</v>
      </c>
      <c r="I47" s="70">
        <f>IF(($R$29)="","-",$R$29)</f>
        <v>27.263686654994249</v>
      </c>
      <c r="J47" s="128">
        <f>IF(ISERROR(10*LOG(1/24*(13*(10^(G47/10))+3*(10^((H47+5)/10))+8*(10^((I47+10)/10))))),"-",10*LOG(1/24*(13*(10^(G47/10))+3*(10^((H47+5)/10))+8*(10^((I47+10)/10)))))</f>
        <v>33.568254966798058</v>
      </c>
      <c r="K47" s="42" t="s">
        <v>28</v>
      </c>
      <c r="L47" s="22"/>
      <c r="M47" s="2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</row>
    <row r="48" spans="2:31" ht="12" customHeight="1" x14ac:dyDescent="0.2">
      <c r="F48" s="67"/>
      <c r="G48" s="68"/>
      <c r="H48" s="68"/>
      <c r="I48" s="68"/>
      <c r="J48" s="68"/>
      <c r="K48" s="69"/>
      <c r="M48" s="2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</row>
    <row r="49" spans="5:31" ht="6" customHeight="1" x14ac:dyDescent="0.2">
      <c r="E49" s="2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</row>
    <row r="50" spans="5:31" ht="6" customHeight="1" x14ac:dyDescent="0.2"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</row>
    <row r="51" spans="5:31" ht="12" customHeight="1" x14ac:dyDescent="0.2">
      <c r="F51" s="45"/>
      <c r="G51" s="46"/>
      <c r="H51" s="46"/>
      <c r="I51" s="46"/>
      <c r="J51" s="46"/>
      <c r="K51" s="47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</row>
    <row r="52" spans="5:31" ht="17.100000000000001" customHeight="1" x14ac:dyDescent="0.25">
      <c r="F52" s="48"/>
      <c r="G52" s="49" t="s">
        <v>50</v>
      </c>
      <c r="H52" s="50"/>
      <c r="I52" s="50"/>
      <c r="J52" s="51"/>
      <c r="K52" s="5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</row>
    <row r="53" spans="5:31" ht="18.75" customHeight="1" x14ac:dyDescent="0.2">
      <c r="F53" s="48"/>
      <c r="G53" s="53" t="s">
        <v>56</v>
      </c>
      <c r="H53" s="53" t="s">
        <v>57</v>
      </c>
      <c r="I53" s="53" t="s">
        <v>55</v>
      </c>
      <c r="J53" s="54" t="s">
        <v>48</v>
      </c>
      <c r="K53" s="5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</row>
    <row r="54" spans="5:31" ht="33.75" customHeight="1" x14ac:dyDescent="0.2">
      <c r="F54" s="48"/>
      <c r="G54" s="115">
        <f>ROUND(IF(ISERROR(10*LOG10(10^($G$47/10)+10^(G35/10))),G35,10*LOG10(10^($G$47/10)+10^(G35/10))),1)</f>
        <v>41.1</v>
      </c>
      <c r="H54" s="115">
        <f>ROUND(IF(ISERROR(10*LOG10(10^($H$47/10)+10^(H35/10))),H35,10*LOG10(10^($H$47/10)+10^(H35/10))),1)</f>
        <v>38.6</v>
      </c>
      <c r="I54" s="115">
        <f>ROUND(IF(ISERROR(10*LOG10(10^($I$47/10)+10^(I35/10))),I35,10*LOG10(10^($I$47/10)+10^(I35/10))),1)</f>
        <v>38</v>
      </c>
      <c r="J54" s="138">
        <f>IF(R54&lt;7,0,R54)</f>
        <v>44.895860697459597</v>
      </c>
      <c r="K54" s="55" t="s">
        <v>28</v>
      </c>
      <c r="R54" s="140">
        <f>IF(ISERROR(10*LOG(1/24*(13*(10^(G54/10))+3*(10^((H54+5)/10))+8*(10^((I54+10)/10))))),"-",10*LOG(1/24*(13*(10^(G54/10))+3*(10^((H54+5)/10))+8*(10^((I54+10)/10)))))</f>
        <v>44.895860697459597</v>
      </c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</row>
    <row r="55" spans="5:31" ht="18" customHeight="1" x14ac:dyDescent="0.2">
      <c r="F55" s="48"/>
      <c r="G55" s="56"/>
      <c r="H55" s="56"/>
      <c r="I55" s="56"/>
      <c r="J55" s="56"/>
      <c r="K55" s="5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</row>
    <row r="56" spans="5:31" ht="17.100000000000001" customHeight="1" x14ac:dyDescent="0.2">
      <c r="F56" s="57" t="s">
        <v>73</v>
      </c>
      <c r="G56" s="58" t="str">
        <f>IF(G54&lt;=45,"-",G54-G35)</f>
        <v>-</v>
      </c>
      <c r="H56" s="58" t="str">
        <f>IF(H54&lt;=45,"-",H54-H35)</f>
        <v>-</v>
      </c>
      <c r="I56" s="58" t="str">
        <f>IF(I54&lt;=45,"-",I54-I35)</f>
        <v>-</v>
      </c>
      <c r="J56" s="56"/>
      <c r="K56" s="5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</row>
    <row r="57" spans="5:31" x14ac:dyDescent="0.2">
      <c r="F57" s="59"/>
      <c r="G57" s="60"/>
      <c r="H57" s="60"/>
      <c r="I57" s="60"/>
      <c r="J57" s="60"/>
      <c r="K57" s="61"/>
    </row>
    <row r="82" spans="2:7" ht="15" x14ac:dyDescent="0.25">
      <c r="B82" s="29" t="s">
        <v>74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3 para CALB B</v>
      </c>
      <c r="D83" s="145"/>
      <c r="E83" s="145"/>
      <c r="F83" s="145"/>
      <c r="G83" s="149"/>
    </row>
    <row r="84" spans="2:7" ht="15" x14ac:dyDescent="0.25">
      <c r="B84" s="30" t="s">
        <v>18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42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19</v>
      </c>
      <c r="C86" s="150" t="str">
        <f>C9</f>
        <v>Ponto 2 (Apoio QA)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100" spans="3:7" x14ac:dyDescent="0.2">
      <c r="C100" s="76"/>
      <c r="D100" s="76"/>
    </row>
    <row r="101" spans="3:7" x14ac:dyDescent="0.2">
      <c r="C101" s="117">
        <f>G16</f>
        <v>-11.2</v>
      </c>
      <c r="D101" s="84">
        <f>H16</f>
        <v>0</v>
      </c>
      <c r="E101" s="120">
        <f>I16</f>
        <v>11.2</v>
      </c>
      <c r="F101" s="100">
        <f>H29</f>
        <v>71</v>
      </c>
      <c r="G101" t="s">
        <v>80</v>
      </c>
    </row>
    <row r="102" spans="3:7" x14ac:dyDescent="0.2">
      <c r="E102" s="76"/>
    </row>
    <row r="103" spans="3:7" x14ac:dyDescent="0.2">
      <c r="E103" s="76"/>
    </row>
    <row r="104" spans="3:7" x14ac:dyDescent="0.2">
      <c r="C104" s="76"/>
      <c r="D104" s="76"/>
      <c r="E104" s="76"/>
    </row>
    <row r="105" spans="3:7" x14ac:dyDescent="0.2">
      <c r="C105" s="117">
        <f>G24</f>
        <v>14</v>
      </c>
      <c r="D105" s="84">
        <f>H24</f>
        <v>14</v>
      </c>
      <c r="E105" s="120">
        <f>I24</f>
        <v>14</v>
      </c>
    </row>
    <row r="106" spans="3:7" x14ac:dyDescent="0.2">
      <c r="E106" s="76"/>
      <c r="G106" s="99">
        <f>M26</f>
        <v>1.5</v>
      </c>
    </row>
    <row r="107" spans="3:7" x14ac:dyDescent="0.2">
      <c r="E107" s="76"/>
      <c r="G107" s="76"/>
    </row>
    <row r="108" spans="3:7" x14ac:dyDescent="0.2">
      <c r="C108" s="84">
        <f>H20</f>
        <v>3.18</v>
      </c>
      <c r="D108" s="76"/>
      <c r="E108" s="76"/>
      <c r="G108" s="155">
        <f>J29</f>
        <v>110</v>
      </c>
    </row>
    <row r="109" spans="3:7" x14ac:dyDescent="0.2">
      <c r="D109" s="76"/>
      <c r="E109" s="76"/>
      <c r="G109" s="156"/>
    </row>
    <row r="110" spans="3:7" x14ac:dyDescent="0.2">
      <c r="C110" s="76"/>
      <c r="D110" s="76"/>
      <c r="E110" s="76"/>
    </row>
    <row r="111" spans="3:7" x14ac:dyDescent="0.2">
      <c r="E111" s="76"/>
    </row>
    <row r="112" spans="3:7" x14ac:dyDescent="0.2">
      <c r="C112" s="118">
        <f>K16</f>
        <v>15.32</v>
      </c>
      <c r="D112" s="119">
        <f>L16</f>
        <v>15.81</v>
      </c>
      <c r="E112" s="121">
        <f>M16</f>
        <v>15.32</v>
      </c>
      <c r="G112" s="157" t="str">
        <f>IF(P6=1,"Minho",IF(P6=2,"Trás-os-Montes",IF(P6=3,"centro","sul")))</f>
        <v>sul</v>
      </c>
    </row>
    <row r="113" spans="1:7" x14ac:dyDescent="0.2">
      <c r="G113" s="157"/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62</v>
      </c>
      <c r="D117" s="134" t="s">
        <v>63</v>
      </c>
      <c r="E117" s="134" t="s">
        <v>64</v>
      </c>
      <c r="F117" s="134" t="s">
        <v>65</v>
      </c>
    </row>
    <row r="118" spans="1:7" x14ac:dyDescent="0.2">
      <c r="C118" s="92">
        <f>G35</f>
        <v>40.9</v>
      </c>
      <c r="D118" s="93">
        <f>H35</f>
        <v>38.299999999999997</v>
      </c>
      <c r="E118" s="93">
        <f>I35</f>
        <v>37.6</v>
      </c>
      <c r="F118" s="106">
        <f>J35</f>
        <v>44.6</v>
      </c>
      <c r="G118" t="s">
        <v>82</v>
      </c>
    </row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58</v>
      </c>
      <c r="D125" s="134" t="s">
        <v>59</v>
      </c>
      <c r="E125" s="134" t="s">
        <v>60</v>
      </c>
      <c r="F125" s="134" t="s">
        <v>61</v>
      </c>
    </row>
    <row r="127" spans="1:7" x14ac:dyDescent="0.2">
      <c r="B127" s="97" t="s">
        <v>71</v>
      </c>
      <c r="C127" s="98">
        <f>G43</f>
        <v>36.82315676361609</v>
      </c>
      <c r="D127" s="98">
        <f>H43</f>
        <v>36.82315676361609</v>
      </c>
      <c r="E127" s="98">
        <f>I43</f>
        <v>36.82315676361609</v>
      </c>
      <c r="F127" s="98">
        <f>J43</f>
        <v>43.127725075419917</v>
      </c>
      <c r="G127" s="94" t="s">
        <v>22</v>
      </c>
    </row>
    <row r="128" spans="1:7" x14ac:dyDescent="0.2">
      <c r="B128" s="96" t="s">
        <v>72</v>
      </c>
      <c r="C128" s="77">
        <f>G45</f>
        <v>25.493156763616081</v>
      </c>
      <c r="D128" s="77">
        <f>H45</f>
        <v>25.493156763616081</v>
      </c>
      <c r="E128" s="77">
        <f>I45</f>
        <v>25.493156763616081</v>
      </c>
      <c r="F128" s="77">
        <f>J45</f>
        <v>31.797725075419898</v>
      </c>
      <c r="G128" s="94" t="s">
        <v>22</v>
      </c>
    </row>
    <row r="131" spans="3:7" x14ac:dyDescent="0.2">
      <c r="C131" s="104">
        <f>G47</f>
        <v>27.263686654994249</v>
      </c>
      <c r="D131" s="104">
        <f>H47</f>
        <v>27.263686654994249</v>
      </c>
      <c r="E131" s="104">
        <f>I47</f>
        <v>27.263686654994249</v>
      </c>
      <c r="F131" s="101">
        <f>J47</f>
        <v>33.568254966798058</v>
      </c>
      <c r="G131" s="105" t="s">
        <v>82</v>
      </c>
    </row>
    <row r="132" spans="3:7" x14ac:dyDescent="0.2">
      <c r="C132" s="76"/>
      <c r="D132" s="76"/>
      <c r="E132" s="76"/>
      <c r="F132" s="76"/>
    </row>
    <row r="137" spans="3:7" x14ac:dyDescent="0.2">
      <c r="C137" s="135" t="s">
        <v>58</v>
      </c>
      <c r="D137" s="135" t="s">
        <v>59</v>
      </c>
      <c r="E137" s="135" t="s">
        <v>60</v>
      </c>
      <c r="F137" s="135" t="s">
        <v>61</v>
      </c>
    </row>
    <row r="138" spans="3:7" ht="18.75" customHeight="1" x14ac:dyDescent="0.2">
      <c r="C138" s="95">
        <f>G54</f>
        <v>41.1</v>
      </c>
      <c r="D138" s="95">
        <f>H54</f>
        <v>38.6</v>
      </c>
      <c r="E138" s="95">
        <f>I54</f>
        <v>38</v>
      </c>
      <c r="F138" s="101">
        <f>J54</f>
        <v>44.895860697459597</v>
      </c>
      <c r="G138" s="105" t="s">
        <v>82</v>
      </c>
    </row>
  </sheetData>
  <mergeCells count="9">
    <mergeCell ref="G112:G113"/>
    <mergeCell ref="C8:E8"/>
    <mergeCell ref="C9:E9"/>
    <mergeCell ref="C4:E4"/>
    <mergeCell ref="C5:D5"/>
    <mergeCell ref="C6:E6"/>
    <mergeCell ref="C7:E7"/>
    <mergeCell ref="C88:D88"/>
    <mergeCell ref="G108:G109"/>
  </mergeCells>
  <phoneticPr fontId="5" type="noConversion"/>
  <pageMargins left="1.5354330708661419" right="0.74803149606299213" top="0.98425196850393704" bottom="0.98425196850393704" header="0.51181102362204722" footer="0.51181102362204722"/>
  <pageSetup fitToWidth="0" orientation="portrait" horizontalDpi="4294967292" verticalDpi="4294967292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ista pendente 1">
              <controlPr defaultSize="0" autoLine="0" autoPict="0">
                <anchor moveWithCells="1">
                  <from>
                    <xdr:col>11</xdr:col>
                    <xdr:colOff>57150</xdr:colOff>
                    <xdr:row>20</xdr:row>
                    <xdr:rowOff>0</xdr:rowOff>
                  </from>
                  <to>
                    <xdr:col>13</xdr:col>
                    <xdr:colOff>466725</xdr:colOff>
                    <xdr:row>21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6E96E-6F35-485F-B6D2-D65B71AB0A20}">
  <sheetPr>
    <pageSetUpPr fitToPage="1"/>
  </sheetPr>
  <dimension ref="A2:AC138"/>
  <sheetViews>
    <sheetView showGridLines="0" topLeftCell="A82" zoomScale="85" zoomScaleNormal="85" workbookViewId="0">
      <selection activeCell="H85" sqref="H85"/>
    </sheetView>
  </sheetViews>
  <sheetFormatPr defaultColWidth="11.42578125" defaultRowHeight="12.75" x14ac:dyDescent="0.2"/>
  <cols>
    <col min="1" max="1" width="8.7109375" customWidth="1" collapsed="1"/>
    <col min="2" max="2" width="12.85546875" customWidth="1" collapsed="1"/>
    <col min="3" max="6" width="11.42578125" customWidth="1" collapsed="1"/>
    <col min="7" max="8" width="11.28515625" customWidth="1" collapsed="1"/>
  </cols>
  <sheetData>
    <row r="2" spans="2:29" x14ac:dyDescent="0.2">
      <c r="U2" s="137"/>
      <c r="V2" s="137"/>
      <c r="W2" s="137"/>
      <c r="X2" s="137"/>
      <c r="Y2" s="137"/>
      <c r="Z2" s="137"/>
      <c r="AA2" s="136"/>
      <c r="AB2" s="136"/>
      <c r="AC2" s="136"/>
    </row>
    <row r="3" spans="2:29" x14ac:dyDescent="0.2">
      <c r="S3" s="21" t="s">
        <v>29</v>
      </c>
      <c r="U3" s="132"/>
      <c r="V3" s="132"/>
      <c r="W3" s="132">
        <v>-119.74</v>
      </c>
      <c r="X3" s="132">
        <v>-119.03</v>
      </c>
      <c r="Y3" s="132"/>
      <c r="Z3" s="137"/>
      <c r="AA3" s="136"/>
      <c r="AB3" s="136"/>
      <c r="AC3" s="136"/>
    </row>
    <row r="4" spans="2:29" ht="20.100000000000001" customHeight="1" x14ac:dyDescent="0.25">
      <c r="B4" s="29" t="s">
        <v>2</v>
      </c>
      <c r="C4" s="158" t="s">
        <v>85</v>
      </c>
      <c r="D4" s="159"/>
      <c r="E4" s="160"/>
      <c r="S4" s="21" t="s">
        <v>40</v>
      </c>
      <c r="U4" s="132"/>
      <c r="V4" s="132"/>
      <c r="W4" s="132">
        <v>-120.93</v>
      </c>
      <c r="X4" s="132">
        <v>-121.67</v>
      </c>
      <c r="Y4" s="132"/>
      <c r="Z4" s="137"/>
      <c r="AA4" s="136"/>
      <c r="AB4" s="136"/>
      <c r="AC4" s="136"/>
    </row>
    <row r="5" spans="2:29" ht="18.75" customHeight="1" x14ac:dyDescent="0.25">
      <c r="B5" s="30" t="s">
        <v>20</v>
      </c>
      <c r="C5" s="161" t="s">
        <v>85</v>
      </c>
      <c r="D5" s="161"/>
      <c r="E5" s="24"/>
      <c r="S5" s="21" t="s">
        <v>30</v>
      </c>
      <c r="U5" s="132"/>
      <c r="V5" s="132"/>
      <c r="W5" s="132" t="s">
        <v>7</v>
      </c>
      <c r="X5" s="132"/>
      <c r="Y5" s="132"/>
      <c r="Z5" s="137"/>
      <c r="AA5" s="136"/>
      <c r="AB5" s="136"/>
      <c r="AC5" s="136"/>
    </row>
    <row r="6" spans="2:29" ht="20.100000000000001" customHeight="1" x14ac:dyDescent="0.25">
      <c r="B6" s="30" t="s">
        <v>17</v>
      </c>
      <c r="C6" s="162" t="s">
        <v>87</v>
      </c>
      <c r="D6" s="163"/>
      <c r="E6" s="164"/>
      <c r="S6" s="20" t="s">
        <v>69</v>
      </c>
      <c r="U6" s="132"/>
      <c r="V6" s="132"/>
      <c r="W6" s="132">
        <f>IF(ISERROR($W$4+120*LOG(L13)+55*LOG(H29)),0,$W$4+120*LOG(L13)+55*LOG(H29))</f>
        <v>0</v>
      </c>
      <c r="X6" s="132">
        <f>IF(ISERROR($W$4+120*LOG(M13)+55*LOG(H29)),0,$W$4+120*LOG(M13)+55*LOG(H29))</f>
        <v>0</v>
      </c>
      <c r="Y6" s="132"/>
      <c r="Z6" s="137"/>
      <c r="AA6" s="136"/>
      <c r="AB6" s="136"/>
      <c r="AC6" s="136"/>
    </row>
    <row r="7" spans="2:29" ht="18.75" customHeight="1" x14ac:dyDescent="0.25">
      <c r="B7" s="30" t="s">
        <v>5</v>
      </c>
      <c r="C7" s="162" t="s">
        <v>88</v>
      </c>
      <c r="D7" s="165"/>
      <c r="E7" s="166"/>
      <c r="U7" s="132"/>
      <c r="V7" s="132"/>
      <c r="W7" s="132">
        <f>IF(ISERROR($X$4+120*LOG(L15)+55*LOG(H29)),0,$X$4+120*LOG(L15)+55*LOG(H29))</f>
        <v>50.588015272921155</v>
      </c>
      <c r="X7" s="132">
        <f>IF(ISERROR($X$4+120*LOG(M15)+55*LOG(H29)),0,$X$4+120*LOG(M15)+55*LOG(H29))</f>
        <v>45.828420805828557</v>
      </c>
      <c r="Y7" s="132"/>
      <c r="Z7" s="137"/>
      <c r="AA7" s="136"/>
      <c r="AB7" s="136"/>
      <c r="AC7" s="136"/>
    </row>
    <row r="8" spans="2:29" ht="15.75" customHeight="1" x14ac:dyDescent="0.25">
      <c r="B8" s="30" t="s">
        <v>21</v>
      </c>
      <c r="C8" s="162" t="s">
        <v>86</v>
      </c>
      <c r="D8" s="163"/>
      <c r="E8" s="166"/>
      <c r="R8" s="131">
        <v>4</v>
      </c>
      <c r="U8" s="132"/>
      <c r="V8" s="132"/>
      <c r="W8" s="132">
        <f>IF(ISERROR($W$4+120*LOG(L17)+55*LOG(H29)),0,$W$4+120*LOG(L17)+55*LOG(H29))</f>
        <v>51.230451429459762</v>
      </c>
      <c r="X8" s="132">
        <f>IF(ISERROR($W$4+120*LOG(M17)+55*LOG(H29)),0,$W$4+120*LOG(M17)+55*LOG(H29))</f>
        <v>0</v>
      </c>
      <c r="Y8" s="132"/>
      <c r="Z8" s="137"/>
      <c r="AA8" s="136"/>
      <c r="AB8" s="136"/>
      <c r="AC8" s="136"/>
    </row>
    <row r="9" spans="2:29" ht="17.100000000000001" customHeight="1" x14ac:dyDescent="0.25">
      <c r="B9" s="31" t="s">
        <v>16</v>
      </c>
      <c r="C9" s="167" t="s">
        <v>91</v>
      </c>
      <c r="D9" s="168"/>
      <c r="E9" s="169"/>
      <c r="U9" s="132"/>
      <c r="V9" s="132"/>
      <c r="W9" s="132"/>
      <c r="X9" s="132"/>
      <c r="Y9" s="132"/>
      <c r="Z9" s="137"/>
      <c r="AA9" s="136"/>
      <c r="AB9" s="136"/>
      <c r="AC9" s="136"/>
    </row>
    <row r="10" spans="2:29" ht="20.100000000000001" customHeight="1" x14ac:dyDescent="0.2">
      <c r="U10" s="132"/>
      <c r="V10" s="132"/>
      <c r="W10" s="132" t="s">
        <v>8</v>
      </c>
      <c r="X10" s="132"/>
      <c r="Y10" s="132"/>
      <c r="Z10" s="137"/>
      <c r="AA10" s="136"/>
      <c r="AB10" s="136"/>
      <c r="AC10" s="136"/>
    </row>
    <row r="11" spans="2:29" ht="11.1" customHeight="1" x14ac:dyDescent="0.2">
      <c r="G11" s="1"/>
      <c r="H11" s="2"/>
      <c r="I11" s="2"/>
      <c r="J11" s="2"/>
      <c r="K11" s="2"/>
      <c r="L11" s="2"/>
      <c r="M11" s="2"/>
      <c r="N11" s="2"/>
      <c r="O11" s="4"/>
      <c r="U11" s="132"/>
      <c r="V11" s="132"/>
      <c r="W11" s="132"/>
      <c r="X11" s="132"/>
      <c r="Y11" s="132"/>
      <c r="Z11" s="137"/>
      <c r="AA11" s="136"/>
      <c r="AB11" s="136"/>
      <c r="AC11" s="136"/>
    </row>
    <row r="12" spans="2:29" ht="26.1" customHeight="1" x14ac:dyDescent="0.2">
      <c r="G12" s="5"/>
      <c r="H12" s="72" t="s">
        <v>0</v>
      </c>
      <c r="I12" s="6"/>
      <c r="J12" s="6"/>
      <c r="K12" s="6"/>
      <c r="L12" s="72" t="s">
        <v>1</v>
      </c>
      <c r="M12" s="6"/>
      <c r="N12" s="6"/>
      <c r="O12" s="7"/>
      <c r="U12" s="132"/>
      <c r="V12" s="132"/>
      <c r="W12" s="132">
        <f>IF(ISERROR(-109.6+120*LOG10(L13)+55*LOG10(H29)),0,-109.6+120*LOG10(L13)+55*LOG10(H29))</f>
        <v>0</v>
      </c>
      <c r="X12" s="132">
        <f>IF(ISERROR(-109.6+120*LOG10(M13)+55*LOG10(H29)),0,-109.6+120*LOG10(M13)+55*LOG10(H29))</f>
        <v>0</v>
      </c>
      <c r="Y12" s="132"/>
      <c r="Z12" s="137"/>
      <c r="AA12" s="136"/>
      <c r="AB12" s="136"/>
      <c r="AC12" s="136"/>
    </row>
    <row r="13" spans="2:29" ht="24.75" customHeight="1" x14ac:dyDescent="0.2">
      <c r="G13" s="5"/>
      <c r="H13" s="141"/>
      <c r="I13" s="141"/>
      <c r="J13" s="6"/>
      <c r="K13" s="6"/>
      <c r="L13" s="114"/>
      <c r="M13" s="114"/>
      <c r="N13" s="6"/>
      <c r="O13" s="7"/>
      <c r="U13" s="132"/>
      <c r="V13" s="132"/>
      <c r="W13" s="132">
        <f>IF(ISERROR(-109.6+120*LOG10(L15)+55*LOG10(H29)),0,-109.6+120*LOG10(L15)+55*LOG10(H29))</f>
        <v>62.658015272921162</v>
      </c>
      <c r="X13" s="132">
        <f>IF(ISERROR(-109.6+120*LOG10(M15)+55*LOG10(H29)),0,-109.6+120*LOG10(M15)+55*LOG10(H29))</f>
        <v>57.898420805828565</v>
      </c>
      <c r="Y13" s="132"/>
      <c r="Z13" s="137"/>
      <c r="AA13" s="136"/>
      <c r="AB13" s="136"/>
      <c r="AC13" s="136"/>
    </row>
    <row r="14" spans="2:29" ht="17.100000000000001" customHeight="1" x14ac:dyDescent="0.2">
      <c r="G14" s="5"/>
      <c r="H14" s="73"/>
      <c r="I14" s="73"/>
      <c r="J14" s="6"/>
      <c r="K14" s="6"/>
      <c r="L14" s="74"/>
      <c r="M14" s="74"/>
      <c r="N14" s="6"/>
      <c r="O14" s="7"/>
      <c r="U14" s="132"/>
      <c r="V14" s="132"/>
      <c r="W14" s="132">
        <f>IF(ISERROR(-109.6+120*LOG10(L17)+55*LOG10(H29)),0,-109.6+120*LOG10(L17)+55*LOG10(H29))</f>
        <v>62.560451429459775</v>
      </c>
      <c r="X14" s="132">
        <f>IF(ISERROR(-109.6+120*LOG10(M17)+55*LOG10(H29)),0,-109.6+120*LOG10(M17)+55*LOG10(H29))</f>
        <v>0</v>
      </c>
      <c r="Y14" s="132"/>
      <c r="Z14" s="137"/>
      <c r="AA14" s="136"/>
      <c r="AB14" s="136"/>
      <c r="AC14" s="136"/>
    </row>
    <row r="15" spans="2:29" ht="24.75" customHeight="1" x14ac:dyDescent="0.2">
      <c r="G15" s="5"/>
      <c r="H15" s="141">
        <v>-7.8</v>
      </c>
      <c r="I15" s="141">
        <v>7.8</v>
      </c>
      <c r="J15" s="6"/>
      <c r="K15" s="6"/>
      <c r="L15" s="114">
        <v>16.04</v>
      </c>
      <c r="M15" s="114">
        <v>14.64</v>
      </c>
      <c r="N15" s="6"/>
      <c r="O15" s="7"/>
      <c r="U15" s="132"/>
      <c r="V15" s="132"/>
      <c r="W15" s="132"/>
      <c r="X15" s="132"/>
      <c r="Y15" s="132"/>
      <c r="Z15" s="137"/>
      <c r="AA15" s="136"/>
      <c r="AB15" s="136"/>
      <c r="AC15" s="136"/>
    </row>
    <row r="16" spans="2:29" ht="18" customHeight="1" x14ac:dyDescent="0.2">
      <c r="G16" s="5"/>
      <c r="H16" s="73"/>
      <c r="I16" s="73"/>
      <c r="J16" s="6"/>
      <c r="K16" s="6"/>
      <c r="L16" s="74"/>
      <c r="M16" s="74"/>
      <c r="N16" s="6"/>
      <c r="O16" s="7"/>
      <c r="U16" s="132"/>
      <c r="V16" s="132"/>
      <c r="W16" s="132" t="s">
        <v>9</v>
      </c>
      <c r="X16" s="132"/>
      <c r="Y16" s="132"/>
      <c r="Z16" s="137"/>
      <c r="AA16" s="136"/>
      <c r="AB16" s="136"/>
      <c r="AC16" s="136"/>
    </row>
    <row r="17" spans="7:29" ht="24.75" customHeight="1" x14ac:dyDescent="0.2">
      <c r="G17" s="5"/>
      <c r="H17" s="141">
        <v>-7.8</v>
      </c>
      <c r="I17" s="141"/>
      <c r="J17" s="6"/>
      <c r="K17" s="6"/>
      <c r="L17" s="114">
        <v>16.010000000000002</v>
      </c>
      <c r="M17" s="114"/>
      <c r="N17" s="6"/>
      <c r="O17" s="7"/>
      <c r="U17" s="132"/>
      <c r="V17" s="132"/>
      <c r="W17" s="132">
        <f>SQRT((H13-$K$33)^2+(($H$21+I33)-($N$29+N33))^2)</f>
        <v>332.10879241597928</v>
      </c>
      <c r="X17" s="132">
        <f>SQRT((I13-$K$33)^2+(($I$21+I33)-($N$29+N33))^2)</f>
        <v>332.10879241597928</v>
      </c>
      <c r="Y17" s="132"/>
      <c r="Z17" s="137"/>
      <c r="AA17" s="136"/>
      <c r="AB17" s="136"/>
      <c r="AC17" s="136"/>
    </row>
    <row r="18" spans="7:29" ht="12.75" customHeight="1" x14ac:dyDescent="0.2">
      <c r="G18" s="5"/>
      <c r="H18" s="6"/>
      <c r="I18" s="6"/>
      <c r="J18" s="6"/>
      <c r="K18" s="6"/>
      <c r="L18" s="6"/>
      <c r="M18" s="6"/>
      <c r="N18" s="6"/>
      <c r="O18" s="7"/>
      <c r="U18" s="132"/>
      <c r="V18" s="132"/>
      <c r="W18" s="132">
        <f>SQRT((H15-$K$33)^2+(($H$23+I33)-($N$29+N33))^2)</f>
        <v>340.07808294566706</v>
      </c>
      <c r="X18" s="132">
        <f>SQRT((I15-$K$33)^2+(($I$23+I33)-($N$29+N33))^2)</f>
        <v>324.49145212162369</v>
      </c>
      <c r="Y18" s="132"/>
      <c r="Z18" s="137"/>
      <c r="AA18" s="136"/>
      <c r="AB18" s="136"/>
      <c r="AC18" s="136"/>
    </row>
    <row r="19" spans="7:29" ht="12" customHeight="1" x14ac:dyDescent="0.2">
      <c r="G19" s="5"/>
      <c r="H19" s="6"/>
      <c r="I19" s="6"/>
      <c r="J19" s="6"/>
      <c r="K19" s="6"/>
      <c r="L19" s="6"/>
      <c r="M19" s="6"/>
      <c r="N19" s="6"/>
      <c r="O19" s="7"/>
      <c r="U19" s="132"/>
      <c r="V19" s="132"/>
      <c r="W19" s="132">
        <f>SQRT((H17-$K$33)^2+(($H$25+I33)-($N$29+N33))^2)</f>
        <v>339.8445085623718</v>
      </c>
      <c r="X19" s="132">
        <f>SQRT((I17-$K$33)^2+(($I$25+I33)-($N$29+N33))^2)</f>
        <v>332.10879241597928</v>
      </c>
      <c r="Y19" s="132"/>
      <c r="Z19" s="137"/>
      <c r="AA19" s="136"/>
      <c r="AB19" s="136"/>
      <c r="AC19" s="136"/>
    </row>
    <row r="20" spans="7:29" ht="20.100000000000001" customHeight="1" x14ac:dyDescent="0.2">
      <c r="G20" s="5"/>
      <c r="H20" s="72" t="s">
        <v>3</v>
      </c>
      <c r="I20" s="6"/>
      <c r="J20" s="6"/>
      <c r="K20" s="6"/>
      <c r="L20" s="10"/>
      <c r="M20" s="6"/>
      <c r="N20" s="6"/>
      <c r="O20" s="7"/>
      <c r="U20" s="132"/>
      <c r="V20" s="132"/>
      <c r="W20" s="132"/>
      <c r="X20" s="132"/>
      <c r="Y20" s="132"/>
      <c r="Z20" s="137"/>
      <c r="AA20" s="136"/>
      <c r="AB20" s="136"/>
      <c r="AC20" s="136"/>
    </row>
    <row r="21" spans="7:29" ht="24.75" customHeight="1" x14ac:dyDescent="0.2">
      <c r="G21" s="5"/>
      <c r="H21" s="141"/>
      <c r="I21" s="141"/>
      <c r="J21" s="6"/>
      <c r="K21" s="6"/>
      <c r="L21" s="10"/>
      <c r="M21" s="6"/>
      <c r="N21" s="6"/>
      <c r="O21" s="7"/>
      <c r="U21" s="132"/>
      <c r="V21" s="132"/>
      <c r="W21" s="132" t="s">
        <v>10</v>
      </c>
      <c r="X21" s="132"/>
      <c r="Y21" s="132"/>
      <c r="Z21" s="137"/>
      <c r="AA21" s="136"/>
      <c r="AB21" s="136"/>
      <c r="AC21" s="136"/>
    </row>
    <row r="22" spans="7:29" ht="14.25" x14ac:dyDescent="0.2">
      <c r="G22" s="5"/>
      <c r="H22" s="73"/>
      <c r="I22" s="73"/>
      <c r="J22" s="6"/>
      <c r="K22" s="6"/>
      <c r="L22" s="10"/>
      <c r="M22" s="6"/>
      <c r="N22" s="6"/>
      <c r="O22" s="7"/>
      <c r="U22" s="132"/>
      <c r="V22" s="132"/>
      <c r="W22" s="132">
        <f t="shared" ref="W22:X24" si="0">IF(ISERROR(W12-11.4*LOG10(W17)-5.8+($I$33/300)),"",W12-11.4*LOG10(W17)-5.8+($I$33/300))</f>
        <v>-34.282596257696419</v>
      </c>
      <c r="X22" s="132">
        <f t="shared" si="0"/>
        <v>-34.282596257696419</v>
      </c>
      <c r="Y22" s="132"/>
      <c r="Z22" s="137"/>
      <c r="AA22" s="136"/>
      <c r="AB22" s="136"/>
      <c r="AC22" s="136"/>
    </row>
    <row r="23" spans="7:29" ht="24.75" customHeight="1" x14ac:dyDescent="0.2">
      <c r="G23" s="5"/>
      <c r="H23" s="141">
        <v>22.25</v>
      </c>
      <c r="I23" s="141">
        <v>22.25</v>
      </c>
      <c r="J23" s="6"/>
      <c r="K23" s="6"/>
      <c r="L23" s="111"/>
      <c r="M23" s="6"/>
      <c r="N23" s="6"/>
      <c r="O23" s="7"/>
      <c r="U23" s="132"/>
      <c r="V23" s="132"/>
      <c r="W23" s="132">
        <f t="shared" si="0"/>
        <v>28.258018733551872</v>
      </c>
      <c r="X23" s="132">
        <f t="shared" si="0"/>
        <v>23.730703631167994</v>
      </c>
      <c r="Y23" s="132"/>
      <c r="Z23" s="137"/>
      <c r="AA23" s="136"/>
      <c r="AB23" s="136"/>
      <c r="AC23" s="136"/>
    </row>
    <row r="24" spans="7:29" ht="15" customHeight="1" x14ac:dyDescent="0.2">
      <c r="G24" s="5"/>
      <c r="H24" s="73"/>
      <c r="I24" s="73"/>
      <c r="J24" s="6"/>
      <c r="K24" s="6"/>
      <c r="L24" s="6"/>
      <c r="M24" s="6"/>
      <c r="N24" s="6"/>
      <c r="O24" s="7"/>
      <c r="U24" s="132"/>
      <c r="V24" s="132"/>
      <c r="W24" s="132">
        <f t="shared" si="0"/>
        <v>28.163856503185315</v>
      </c>
      <c r="X24" s="132">
        <f t="shared" si="0"/>
        <v>-34.282596257696419</v>
      </c>
      <c r="Y24" s="132"/>
      <c r="Z24" s="137"/>
      <c r="AA24" s="136"/>
      <c r="AB24" s="136"/>
      <c r="AC24" s="136"/>
    </row>
    <row r="25" spans="7:29" ht="24.75" customHeight="1" x14ac:dyDescent="0.2">
      <c r="G25" s="5"/>
      <c r="H25" s="141">
        <v>14</v>
      </c>
      <c r="I25" s="141"/>
      <c r="J25" s="6"/>
      <c r="K25" s="6"/>
      <c r="L25" s="6"/>
      <c r="M25" s="6"/>
      <c r="N25" s="6"/>
      <c r="O25" s="7"/>
      <c r="U25" s="132"/>
      <c r="V25" s="132" t="s">
        <v>12</v>
      </c>
      <c r="W25" s="132">
        <f>IF(ISERROR(10*LOG10(10^(W22/10)+10^(W23/10)+10^(W24/10))),"",10*LOG10(10^(W22/10)+10^(W23/10)+10^(W24/10)))</f>
        <v>31.221493991987703</v>
      </c>
      <c r="X25" s="132">
        <f>IF(ISERROR(10*LOG10(10^(X22/10)+10^(X23/10)+10^(X24/10))),"",10*LOG10(10^(X22/10)+10^(X23/10)+10^(X24/10)))</f>
        <v>23.730717355260353</v>
      </c>
      <c r="Y25" s="132">
        <f>IF(ISERROR(10*LOG10(10^(W25/10)+10^(X25/10))),"",10*LOG10(10^(W25/10)+10^(X25/10)))</f>
        <v>31.933706313859886</v>
      </c>
      <c r="Z25" s="137"/>
      <c r="AA25" s="136"/>
      <c r="AB25" s="136"/>
      <c r="AC25" s="136"/>
    </row>
    <row r="26" spans="7:29" x14ac:dyDescent="0.2">
      <c r="G26" s="5"/>
      <c r="H26" s="6"/>
      <c r="I26" s="6"/>
      <c r="J26" s="6"/>
      <c r="K26" s="6"/>
      <c r="L26" s="6"/>
      <c r="M26" s="6"/>
      <c r="N26" s="6"/>
      <c r="O26" s="7"/>
      <c r="U26" s="132"/>
      <c r="V26" s="132"/>
      <c r="W26" s="132" t="s">
        <v>11</v>
      </c>
      <c r="X26" s="132"/>
      <c r="Y26" s="132"/>
      <c r="Z26" s="137"/>
      <c r="AA26" s="136"/>
      <c r="AB26" s="136"/>
      <c r="AC26" s="136"/>
    </row>
    <row r="27" spans="7:29" ht="15.75" x14ac:dyDescent="0.25">
      <c r="G27" s="5"/>
      <c r="H27" s="6"/>
      <c r="I27" s="6"/>
      <c r="J27" s="6"/>
      <c r="K27" s="6"/>
      <c r="L27" s="6"/>
      <c r="M27" s="6"/>
      <c r="N27" s="11" t="s">
        <v>26</v>
      </c>
      <c r="O27" s="7"/>
      <c r="U27" s="132"/>
      <c r="V27" s="132"/>
      <c r="W27" s="132">
        <f t="shared" ref="W27:X29" si="1">IF(ISERROR(W6-11.4*LOG10(W17)-5.8+($I$33/300)),"",W6-11.4*LOG10(W17)-5.8+($I$33/300))</f>
        <v>-34.282596257696419</v>
      </c>
      <c r="X27" s="132">
        <f t="shared" si="1"/>
        <v>-34.282596257696419</v>
      </c>
      <c r="Y27" s="132"/>
      <c r="Z27" s="137"/>
      <c r="AA27" s="136"/>
      <c r="AB27" s="136"/>
      <c r="AC27" s="136"/>
    </row>
    <row r="28" spans="7:29" ht="15.75" customHeight="1" x14ac:dyDescent="0.2">
      <c r="G28" s="5"/>
      <c r="H28" s="72" t="s">
        <v>4</v>
      </c>
      <c r="I28" s="6"/>
      <c r="J28" s="6"/>
      <c r="K28" s="6"/>
      <c r="L28" s="6"/>
      <c r="M28" s="10"/>
      <c r="N28" s="6"/>
      <c r="O28" s="7"/>
      <c r="U28" s="132"/>
      <c r="V28" s="132"/>
      <c r="W28" s="132">
        <f t="shared" si="1"/>
        <v>16.188018733551864</v>
      </c>
      <c r="X28" s="132">
        <f t="shared" si="1"/>
        <v>11.660703631167985</v>
      </c>
      <c r="Y28" s="132"/>
      <c r="Z28" s="137"/>
      <c r="AA28" s="136"/>
      <c r="AB28" s="136"/>
      <c r="AC28" s="136"/>
    </row>
    <row r="29" spans="7:29" ht="24.75" customHeight="1" x14ac:dyDescent="0.2">
      <c r="G29" s="5"/>
      <c r="H29" s="141">
        <v>3.18</v>
      </c>
      <c r="I29" s="13" t="s">
        <v>6</v>
      </c>
      <c r="J29" s="6"/>
      <c r="K29" s="6"/>
      <c r="L29" s="6"/>
      <c r="M29" s="125" t="s">
        <v>66</v>
      </c>
      <c r="N29" s="71">
        <v>1.5</v>
      </c>
      <c r="O29" s="107" t="s">
        <v>27</v>
      </c>
      <c r="U29" s="132"/>
      <c r="V29" s="132"/>
      <c r="W29" s="132">
        <f t="shared" si="1"/>
        <v>16.833856503185302</v>
      </c>
      <c r="X29" s="132">
        <f t="shared" si="1"/>
        <v>-34.282596257696419</v>
      </c>
      <c r="Y29" s="132"/>
      <c r="Z29" s="137"/>
      <c r="AA29" s="136"/>
      <c r="AB29" s="136"/>
      <c r="AC29" s="136"/>
    </row>
    <row r="30" spans="7:29" x14ac:dyDescent="0.2">
      <c r="G30" s="5"/>
      <c r="H30" s="6"/>
      <c r="I30" s="6"/>
      <c r="J30" s="6"/>
      <c r="K30" s="6"/>
      <c r="L30" s="6"/>
      <c r="M30" s="6"/>
      <c r="N30" s="6"/>
      <c r="O30" s="7"/>
      <c r="U30" s="132"/>
      <c r="V30" s="132" t="s">
        <v>12</v>
      </c>
      <c r="W30" s="132">
        <f>IF(ISERROR(10*LOG10(10^(W27/10)+10^(W28/10)+10^(W29/10))),"",10*LOG10(10^(W27/10)+10^(W28/10)+10^(W29/10)))</f>
        <v>19.533249855592121</v>
      </c>
      <c r="X30" s="132">
        <f>IF(ISERROR(10*LOG10(10^(X27/10)+10^(X28/10)+10^(X29/10))),"",10*LOG10(10^(X27/10)+10^(X28/10)+10^(X29/10)))</f>
        <v>11.660924672386482</v>
      </c>
      <c r="Y30" s="132">
        <f>IF(ISERROR(10*LOG10(10^(W30/10)+10^(X30/10))),"",10*LOG10(10^(W30/10)+10^(X30/10)))</f>
        <v>20.189860195237163</v>
      </c>
      <c r="Z30" s="137"/>
      <c r="AA30" s="136"/>
      <c r="AB30" s="136"/>
      <c r="AC30" s="136"/>
    </row>
    <row r="31" spans="7:29" x14ac:dyDescent="0.2">
      <c r="G31" s="5"/>
      <c r="H31" s="6"/>
      <c r="I31" s="6"/>
      <c r="J31" s="6"/>
      <c r="K31" s="6"/>
      <c r="L31" s="6"/>
      <c r="M31" s="6"/>
      <c r="N31" s="6"/>
      <c r="O31" s="7"/>
      <c r="U31" s="132"/>
      <c r="V31" s="132"/>
      <c r="W31" s="132"/>
      <c r="X31" s="132"/>
      <c r="Y31" s="132"/>
      <c r="Z31" s="137"/>
      <c r="AA31" s="136"/>
      <c r="AB31" s="136"/>
      <c r="AC31" s="136"/>
    </row>
    <row r="32" spans="7:29" ht="12.75" customHeight="1" thickBot="1" x14ac:dyDescent="0.25">
      <c r="G32" s="5"/>
      <c r="H32" s="6"/>
      <c r="I32" s="6"/>
      <c r="J32" s="6"/>
      <c r="K32" s="6"/>
      <c r="L32" s="6"/>
      <c r="M32" s="6"/>
      <c r="N32" s="6"/>
      <c r="O32" s="7"/>
      <c r="U32" s="132"/>
      <c r="V32" s="132"/>
      <c r="W32" s="132"/>
      <c r="X32" s="132"/>
      <c r="Y32" s="132"/>
      <c r="Z32" s="137"/>
      <c r="AA32" s="136"/>
      <c r="AB32" s="136"/>
      <c r="AC32" s="136"/>
    </row>
    <row r="33" spans="2:29" ht="24.75" customHeight="1" thickBot="1" x14ac:dyDescent="0.25">
      <c r="G33" s="5"/>
      <c r="H33" s="12"/>
      <c r="I33" s="114">
        <v>78</v>
      </c>
      <c r="J33" s="13" t="s">
        <v>27</v>
      </c>
      <c r="K33" s="112">
        <v>332</v>
      </c>
      <c r="L33" s="110" t="s">
        <v>27</v>
      </c>
      <c r="M33" s="113"/>
      <c r="N33" s="124">
        <v>85</v>
      </c>
      <c r="O33" s="108" t="s">
        <v>27</v>
      </c>
      <c r="U33" s="132"/>
      <c r="V33" s="132" t="s">
        <v>13</v>
      </c>
      <c r="W33" s="132">
        <f>IF(ISERROR(10*LOG10(X33*(10^(Y25/10))+(1-X33)*(10^(Y30/10)))),"",10*LOG10(X33*(10^(Y25/10))+(1-X33)*(10^(Y30/10))))</f>
        <v>22.114550085530453</v>
      </c>
      <c r="X33" s="132">
        <f>IF(R8=1,0.1,IF(R8=2,0.07,IF(R8=3,0.05,0.04)))</f>
        <v>0.04</v>
      </c>
      <c r="Y33" s="132"/>
      <c r="Z33" s="137"/>
      <c r="AA33" s="136"/>
      <c r="AB33" s="136"/>
      <c r="AC33" s="136"/>
    </row>
    <row r="34" spans="2:29" ht="14.1" customHeight="1" x14ac:dyDescent="0.2">
      <c r="G34" s="14"/>
      <c r="H34" s="15"/>
      <c r="I34" s="15"/>
      <c r="J34" s="15"/>
      <c r="K34" s="15"/>
      <c r="L34" s="15"/>
      <c r="M34" s="15"/>
      <c r="N34" s="15"/>
      <c r="O34" s="16"/>
      <c r="U34" s="132"/>
      <c r="V34" s="132"/>
      <c r="W34" s="132"/>
      <c r="X34" s="132"/>
      <c r="Y34" s="132"/>
      <c r="Z34" s="137"/>
      <c r="AA34" s="136"/>
      <c r="AB34" s="136"/>
      <c r="AC34" s="136"/>
    </row>
    <row r="35" spans="2:29" ht="12.75" customHeight="1" x14ac:dyDescent="0.2">
      <c r="U35" s="132"/>
      <c r="V35" s="132"/>
      <c r="W35" s="132"/>
      <c r="X35" s="132"/>
      <c r="Y35" s="132"/>
      <c r="Z35" s="137"/>
      <c r="AA35" s="136"/>
      <c r="AB35" s="136"/>
      <c r="AC35" s="136"/>
    </row>
    <row r="36" spans="2:29" ht="11.1" customHeight="1" x14ac:dyDescent="0.2">
      <c r="U36" s="132"/>
      <c r="V36" s="132"/>
      <c r="W36" s="132"/>
      <c r="X36" s="132"/>
      <c r="Y36" s="132"/>
      <c r="Z36" s="137"/>
      <c r="AA36" s="136"/>
      <c r="AB36" s="136"/>
      <c r="AC36" s="136"/>
    </row>
    <row r="37" spans="2:29" ht="21.75" customHeight="1" x14ac:dyDescent="0.25">
      <c r="B37" s="103" t="s">
        <v>77</v>
      </c>
      <c r="C37" s="122">
        <v>16</v>
      </c>
      <c r="D37" s="4" t="s">
        <v>45</v>
      </c>
      <c r="G37" s="1"/>
      <c r="H37" s="27" t="s">
        <v>84</v>
      </c>
      <c r="I37" s="2"/>
      <c r="J37" s="2"/>
      <c r="K37" s="2"/>
      <c r="L37" s="4"/>
      <c r="U37" s="132"/>
      <c r="V37" s="132"/>
      <c r="W37" s="132"/>
      <c r="X37" s="132"/>
      <c r="Y37" s="132"/>
      <c r="Z37" s="137"/>
      <c r="AA37" s="136"/>
      <c r="AB37" s="136"/>
      <c r="AC37" s="136"/>
    </row>
    <row r="38" spans="2:29" ht="24" customHeight="1" x14ac:dyDescent="0.25">
      <c r="B38" s="32" t="s">
        <v>46</v>
      </c>
      <c r="C38" s="123">
        <v>85</v>
      </c>
      <c r="D38" s="7" t="s">
        <v>47</v>
      </c>
      <c r="G38" s="5"/>
      <c r="H38" s="25" t="s">
        <v>53</v>
      </c>
      <c r="I38" s="25" t="s">
        <v>54</v>
      </c>
      <c r="J38" s="25" t="s">
        <v>55</v>
      </c>
      <c r="K38" s="34" t="s">
        <v>48</v>
      </c>
      <c r="L38" s="7"/>
      <c r="U38" s="132"/>
      <c r="V38" s="132"/>
      <c r="W38" s="132"/>
      <c r="X38" s="132"/>
      <c r="Y38" s="132"/>
      <c r="Z38" s="137"/>
      <c r="AA38" s="136"/>
      <c r="AB38" s="136"/>
      <c r="AC38" s="136"/>
    </row>
    <row r="39" spans="2:29" ht="26.1" customHeight="1" x14ac:dyDescent="0.25">
      <c r="B39" s="33" t="s">
        <v>49</v>
      </c>
      <c r="C39" s="123">
        <v>0</v>
      </c>
      <c r="D39" s="7" t="s">
        <v>70</v>
      </c>
      <c r="G39" s="5"/>
      <c r="H39" s="26">
        <v>43.6</v>
      </c>
      <c r="I39" s="26">
        <v>40.799999999999997</v>
      </c>
      <c r="J39" s="26">
        <v>39.200000000000003</v>
      </c>
      <c r="K39" s="129">
        <v>46.5</v>
      </c>
      <c r="L39" s="28" t="s">
        <v>22</v>
      </c>
      <c r="U39" s="132"/>
      <c r="V39" s="139">
        <f>IF(ISERROR(10*LOG(1/24*(13*(10^(H39/10))+3*(10^((I39+5)/10))+8*(10^((J39+10)/10))))),"-",10*LOG(1/24*(13*(10^(H39/10))+3*(10^((I39+5)/10))+8*(10^((J39+10)/10)))))</f>
        <v>46.521176096475365</v>
      </c>
      <c r="W39" s="132"/>
      <c r="X39" s="132"/>
      <c r="Y39" s="132"/>
      <c r="Z39" s="137"/>
      <c r="AA39" s="136"/>
      <c r="AB39" s="136"/>
      <c r="AC39" s="136"/>
    </row>
    <row r="40" spans="2:29" ht="17.100000000000001" customHeight="1" x14ac:dyDescent="0.2">
      <c r="C40" s="133">
        <f>(C39*3600)/1000</f>
        <v>0</v>
      </c>
      <c r="D40" s="16" t="s">
        <v>83</v>
      </c>
      <c r="G40" s="14"/>
      <c r="H40" s="15"/>
      <c r="I40" s="15"/>
      <c r="J40" s="15"/>
      <c r="K40" s="15"/>
      <c r="L40" s="16"/>
      <c r="U40" s="132"/>
      <c r="V40" s="132"/>
      <c r="W40" s="132"/>
      <c r="X40" s="132"/>
      <c r="Y40" s="132"/>
      <c r="Z40" s="136"/>
      <c r="AA40" s="136"/>
      <c r="AB40" s="136"/>
      <c r="AC40" s="136"/>
    </row>
    <row r="41" spans="2:29" ht="6.75" customHeight="1" x14ac:dyDescent="0.2">
      <c r="U41" s="132"/>
      <c r="V41" s="132"/>
      <c r="W41" s="132"/>
      <c r="X41" s="132"/>
      <c r="Y41" s="132"/>
      <c r="Z41" s="136"/>
      <c r="AA41" s="136"/>
      <c r="AB41" s="136"/>
      <c r="AC41" s="136"/>
    </row>
    <row r="42" spans="2:29" ht="6.75" customHeight="1" x14ac:dyDescent="0.2">
      <c r="U42" s="132"/>
      <c r="V42" s="132"/>
      <c r="W42" s="132"/>
      <c r="X42" s="132"/>
      <c r="Y42" s="132"/>
      <c r="Z42" s="136"/>
      <c r="AA42" s="136"/>
      <c r="AB42" s="136"/>
      <c r="AC42" s="136"/>
    </row>
    <row r="43" spans="2:29" ht="12" customHeight="1" x14ac:dyDescent="0.2">
      <c r="G43" s="35"/>
      <c r="H43" s="62"/>
      <c r="I43" s="62"/>
      <c r="J43" s="62"/>
      <c r="K43" s="62"/>
      <c r="L43" s="36"/>
      <c r="U43" s="132"/>
      <c r="V43" s="132"/>
      <c r="W43" s="132"/>
      <c r="X43" s="132"/>
      <c r="Y43" s="132"/>
      <c r="Z43" s="136"/>
      <c r="AA43" s="136"/>
      <c r="AB43" s="136"/>
      <c r="AC43" s="136"/>
    </row>
    <row r="44" spans="2:29" ht="18" customHeight="1" x14ac:dyDescent="0.2">
      <c r="G44" s="37"/>
      <c r="H44" s="63" t="s">
        <v>23</v>
      </c>
      <c r="I44" s="64"/>
      <c r="J44" s="64"/>
      <c r="K44" s="65"/>
      <c r="L44" s="40"/>
      <c r="U44" s="132"/>
      <c r="V44" s="132"/>
      <c r="W44" s="132"/>
      <c r="X44" s="132"/>
      <c r="Y44" s="132"/>
      <c r="Z44" s="136"/>
      <c r="AA44" s="136"/>
      <c r="AB44" s="136"/>
      <c r="AC44" s="136"/>
    </row>
    <row r="45" spans="2:29" ht="21.95" customHeight="1" x14ac:dyDescent="0.2">
      <c r="G45" s="37"/>
      <c r="H45" s="38" t="s">
        <v>53</v>
      </c>
      <c r="I45" s="38" t="s">
        <v>54</v>
      </c>
      <c r="J45" s="38" t="s">
        <v>55</v>
      </c>
      <c r="K45" s="39" t="s">
        <v>48</v>
      </c>
      <c r="L45" s="40"/>
      <c r="U45" s="132"/>
      <c r="V45" s="132"/>
      <c r="W45" s="132"/>
      <c r="X45" s="132"/>
      <c r="Y45" s="132"/>
      <c r="Z45" s="136"/>
      <c r="AA45" s="136"/>
      <c r="AB45" s="136"/>
      <c r="AC45" s="136"/>
    </row>
    <row r="46" spans="2:29" ht="18.95" customHeight="1" x14ac:dyDescent="0.2">
      <c r="G46" s="102" t="s">
        <v>75</v>
      </c>
      <c r="H46" s="41">
        <f>IF(($Y$25)="","-",IF($Y$25&lt;0,"-",$Y$25))</f>
        <v>31.933706313859886</v>
      </c>
      <c r="I46" s="41">
        <f>IF(($Y$25)="","-",IF($Y$25&lt;0,"-",$Y$25))</f>
        <v>31.933706313859886</v>
      </c>
      <c r="J46" s="41">
        <f>IF(($Y$25)="","-",IF($Y$25&lt;0,"-",$Y$25))</f>
        <v>31.933706313859886</v>
      </c>
      <c r="K46" s="126">
        <f>IF(ISERROR(10*LOG(1/24*(13*(10^(H46/10))+3*(10^((I46+5)/10))+8*(10^((J46+10)/10))))),"-",10*LOG(1/24*(13*(10^(H46/10))+3*(10^((I46+5)/10))+8*(10^((J46+10)/10)))))</f>
        <v>38.238274625663699</v>
      </c>
      <c r="L46" s="42" t="s">
        <v>22</v>
      </c>
      <c r="U46" s="132"/>
      <c r="V46" s="132"/>
      <c r="W46" s="132"/>
      <c r="X46" s="132"/>
      <c r="Y46" s="132"/>
      <c r="Z46" s="136"/>
      <c r="AA46" s="136"/>
      <c r="AB46" s="136"/>
      <c r="AC46" s="136"/>
    </row>
    <row r="47" spans="2:29" ht="6.95" customHeight="1" x14ac:dyDescent="0.2">
      <c r="G47" s="43"/>
      <c r="H47" s="44"/>
      <c r="I47" s="44"/>
      <c r="J47" s="44"/>
      <c r="K47" s="127"/>
      <c r="L47" s="40"/>
      <c r="U47" s="132"/>
      <c r="V47" s="132"/>
      <c r="W47" s="132"/>
      <c r="X47" s="132"/>
      <c r="Y47" s="132"/>
      <c r="Z47" s="136"/>
      <c r="AA47" s="136"/>
      <c r="AB47" s="136"/>
      <c r="AC47" s="136"/>
    </row>
    <row r="48" spans="2:29" ht="14.1" customHeight="1" x14ac:dyDescent="0.2">
      <c r="G48" s="102" t="s">
        <v>76</v>
      </c>
      <c r="H48" s="41">
        <f>IF(($Y$30)="","-",IF($Y$30&lt;0,"-",$Y$30))</f>
        <v>20.189860195237163</v>
      </c>
      <c r="I48" s="41">
        <f>IF(($Y$30)="","-",IF($Y$30&lt;0,"-",$Y$30))</f>
        <v>20.189860195237163</v>
      </c>
      <c r="J48" s="41">
        <f>IF(($Y$30)="","-",IF($Y$30&lt;0,"-",$Y$30))</f>
        <v>20.189860195237163</v>
      </c>
      <c r="K48" s="126">
        <f>IF(ISERROR(10*LOG(1/24*(13*(10^(H48/10))+3*(10^((I48+5)/10))+8*(10^((J48+10)/10))))),"-",10*LOG(1/24*(13*(10^(H48/10))+3*(10^((I48+5)/10))+8*(10^((J48+10)/10)))))</f>
        <v>26.494428507040979</v>
      </c>
      <c r="L48" s="42" t="s">
        <v>22</v>
      </c>
      <c r="U48" s="132"/>
      <c r="V48" s="132"/>
      <c r="W48" s="132"/>
      <c r="X48" s="132"/>
      <c r="Y48" s="132"/>
      <c r="Z48" s="136"/>
      <c r="AA48" s="136"/>
      <c r="AB48" s="136"/>
      <c r="AC48" s="136"/>
    </row>
    <row r="49" spans="7:29" ht="12" customHeight="1" x14ac:dyDescent="0.2">
      <c r="G49" s="37"/>
      <c r="H49" s="44"/>
      <c r="I49" s="44"/>
      <c r="J49" s="44"/>
      <c r="K49" s="127"/>
      <c r="L49" s="40"/>
      <c r="U49" s="132"/>
      <c r="V49" s="132"/>
      <c r="W49" s="132"/>
      <c r="X49" s="132"/>
      <c r="Y49" s="132"/>
      <c r="Z49" s="136"/>
      <c r="AA49" s="136"/>
      <c r="AB49" s="136"/>
      <c r="AC49" s="136"/>
    </row>
    <row r="50" spans="7:29" ht="21.75" customHeight="1" x14ac:dyDescent="0.2">
      <c r="G50" s="66" t="s">
        <v>52</v>
      </c>
      <c r="H50" s="70">
        <f>IF(($W$33)="","-",IF($W$33&lt;0,"-",$W$33))</f>
        <v>22.114550085530453</v>
      </c>
      <c r="I50" s="70">
        <f>IF(($W$33)="","-",IF($W$33&lt;0,"-",$W$33))</f>
        <v>22.114550085530453</v>
      </c>
      <c r="J50" s="70">
        <f>IF(($W$33)="","-",IF($W$33&lt;0,"-",$W$33))</f>
        <v>22.114550085530453</v>
      </c>
      <c r="K50" s="128">
        <f>IF(ISERROR(10*LOG(1/24*(13*(10^(H50/10))+3*(10^((I50+5)/10))+8*(10^((J50+10)/10))))),"-",10*LOG(1/24*(13*(10^(H50/10))+3*(10^((I50+5)/10))+8*(10^((J50+10)/10)))))</f>
        <v>28.41911839733427</v>
      </c>
      <c r="L50" s="42" t="s">
        <v>22</v>
      </c>
      <c r="U50" s="132"/>
      <c r="V50" s="132"/>
      <c r="W50" s="132"/>
      <c r="X50" s="132"/>
      <c r="Y50" s="132"/>
      <c r="Z50" s="136"/>
      <c r="AA50" s="136"/>
      <c r="AB50" s="136"/>
      <c r="AC50" s="136"/>
    </row>
    <row r="51" spans="7:29" x14ac:dyDescent="0.2">
      <c r="G51" s="67"/>
      <c r="H51" s="68"/>
      <c r="I51" s="68"/>
      <c r="J51" s="68"/>
      <c r="K51" s="68"/>
      <c r="L51" s="69"/>
      <c r="U51" s="132"/>
      <c r="V51" s="132"/>
      <c r="W51" s="132"/>
      <c r="X51" s="132"/>
      <c r="Y51" s="132"/>
      <c r="Z51" s="136"/>
      <c r="AA51" s="136"/>
      <c r="AB51" s="136"/>
      <c r="AC51" s="136"/>
    </row>
    <row r="52" spans="7:29" ht="6.75" customHeight="1" x14ac:dyDescent="0.2">
      <c r="U52" s="132"/>
      <c r="V52" s="132"/>
      <c r="W52" s="132"/>
      <c r="X52" s="132"/>
      <c r="Y52" s="132"/>
      <c r="Z52" s="136"/>
      <c r="AA52" s="136"/>
      <c r="AB52" s="136"/>
      <c r="AC52" s="136"/>
    </row>
    <row r="53" spans="7:29" ht="6.75" customHeight="1" x14ac:dyDescent="0.2">
      <c r="U53" s="132"/>
      <c r="V53" s="132"/>
      <c r="W53" s="132"/>
      <c r="X53" s="132"/>
      <c r="Y53" s="132"/>
      <c r="Z53" s="136"/>
      <c r="AA53" s="136"/>
      <c r="AB53" s="136"/>
      <c r="AC53" s="136"/>
    </row>
    <row r="54" spans="7:29" ht="15.75" customHeight="1" x14ac:dyDescent="0.2">
      <c r="G54" s="45"/>
      <c r="H54" s="46"/>
      <c r="I54" s="46"/>
      <c r="J54" s="46"/>
      <c r="K54" s="46"/>
      <c r="L54" s="47"/>
      <c r="U54" s="132"/>
      <c r="V54" s="132"/>
      <c r="W54" s="132"/>
      <c r="X54" s="132"/>
      <c r="Y54" s="132"/>
      <c r="Z54" s="136"/>
      <c r="AA54" s="136"/>
      <c r="AB54" s="136"/>
      <c r="AC54" s="136"/>
    </row>
    <row r="55" spans="7:29" ht="14.1" customHeight="1" x14ac:dyDescent="0.25">
      <c r="G55" s="48"/>
      <c r="H55" s="49" t="s">
        <v>50</v>
      </c>
      <c r="I55" s="50"/>
      <c r="J55" s="50"/>
      <c r="K55" s="51"/>
      <c r="L55" s="52"/>
      <c r="U55" s="132"/>
      <c r="V55" s="132"/>
      <c r="W55" s="132"/>
      <c r="X55" s="132"/>
      <c r="Y55" s="132"/>
      <c r="Z55" s="136"/>
      <c r="AA55" s="136"/>
      <c r="AB55" s="136"/>
      <c r="AC55" s="136"/>
    </row>
    <row r="56" spans="7:29" ht="18.75" customHeight="1" x14ac:dyDescent="0.2">
      <c r="G56" s="48"/>
      <c r="H56" s="53" t="s">
        <v>53</v>
      </c>
      <c r="I56" s="53" t="s">
        <v>54</v>
      </c>
      <c r="J56" s="53" t="s">
        <v>55</v>
      </c>
      <c r="K56" s="54" t="s">
        <v>48</v>
      </c>
      <c r="L56" s="52"/>
      <c r="U56" s="132"/>
      <c r="V56" s="132"/>
      <c r="W56" s="132"/>
      <c r="X56" s="132"/>
      <c r="Y56" s="132"/>
      <c r="Z56" s="136"/>
      <c r="AA56" s="136"/>
      <c r="AB56" s="136"/>
      <c r="AC56" s="136"/>
    </row>
    <row r="57" spans="7:29" ht="29.1" customHeight="1" x14ac:dyDescent="0.2">
      <c r="G57" s="48"/>
      <c r="H57" s="115">
        <f>ROUND(IF(ISERROR(10*LOG10(10^($H$50/10)+10^(H39/10))),H39,10*LOG10(10^($H$50/10)+10^(H39/10))),1)</f>
        <v>43.6</v>
      </c>
      <c r="I57" s="115">
        <f>ROUND(IF(ISERROR(10*LOG10(10^($H$50/10)+10^(I39/10))),I39,10*LOG10(10^($H$50/10)+10^(I39/10))),1)</f>
        <v>40.9</v>
      </c>
      <c r="J57" s="115">
        <f>ROUND(IF(ISERROR(10*LOG10(10^($H$50/10)+10^(J39/10))),J39,10*LOG10(10^($H$50/10)+10^(J39/10))),1)</f>
        <v>39.299999999999997</v>
      </c>
      <c r="K57" s="138">
        <f>IF(V57&lt;7,0,V57)</f>
        <v>46.593760724519662</v>
      </c>
      <c r="L57" s="55" t="s">
        <v>22</v>
      </c>
      <c r="U57" s="132"/>
      <c r="V57" s="140">
        <f>IF(ISERROR(10*LOG(1/24*(13*(10^(H57/10))+3*(10^((I57+5)/10))+8*(10^((J57+10)/10))))),"-",10*LOG(1/24*(13*(10^(H57/10))+3*(10^((I57+5)/10))+8*(10^((J57+10)/10)))))</f>
        <v>46.593760724519662</v>
      </c>
      <c r="W57" s="132"/>
      <c r="X57" s="132"/>
      <c r="Y57" s="132"/>
      <c r="Z57" s="136"/>
      <c r="AA57" s="136"/>
      <c r="AB57" s="136"/>
      <c r="AC57" s="136"/>
    </row>
    <row r="58" spans="7:29" ht="11.1" customHeight="1" x14ac:dyDescent="0.2">
      <c r="G58" s="48"/>
      <c r="H58" s="56"/>
      <c r="I58" s="56"/>
      <c r="J58" s="56"/>
      <c r="K58" s="56"/>
      <c r="L58" s="52"/>
      <c r="U58" s="132"/>
      <c r="V58" s="132"/>
      <c r="W58" s="132"/>
      <c r="X58" s="132"/>
      <c r="Y58" s="132"/>
      <c r="Z58" s="136"/>
      <c r="AA58" s="136"/>
      <c r="AB58" s="136"/>
      <c r="AC58" s="136"/>
    </row>
    <row r="59" spans="7:29" ht="17.100000000000001" customHeight="1" x14ac:dyDescent="0.2">
      <c r="G59" s="57" t="s">
        <v>73</v>
      </c>
      <c r="H59" s="58" t="str">
        <f>IF(H57&lt;=45,"- ",H57-H39)</f>
        <v xml:space="preserve">- </v>
      </c>
      <c r="I59" s="58" t="str">
        <f>IF(I57&lt;=45,"- ",I57-I39)</f>
        <v xml:space="preserve">- </v>
      </c>
      <c r="J59" s="58" t="str">
        <f>IF(J57&lt;=45,"- ",J57-J39)</f>
        <v xml:space="preserve">- </v>
      </c>
      <c r="K59" s="56"/>
      <c r="L59" s="52"/>
      <c r="U59" s="132"/>
      <c r="V59" s="132"/>
      <c r="W59" s="132"/>
      <c r="X59" s="132"/>
      <c r="Y59" s="132"/>
      <c r="Z59" s="136"/>
      <c r="AA59" s="136"/>
      <c r="AB59" s="136"/>
      <c r="AC59" s="136"/>
    </row>
    <row r="60" spans="7:29" ht="14.1" customHeight="1" x14ac:dyDescent="0.2">
      <c r="G60" s="59"/>
      <c r="H60" s="60"/>
      <c r="I60" s="60"/>
      <c r="J60" s="60"/>
      <c r="K60" s="60"/>
      <c r="L60" s="61"/>
      <c r="U60" s="132"/>
      <c r="V60" s="132"/>
      <c r="W60" s="132"/>
      <c r="X60" s="132"/>
      <c r="Y60" s="132"/>
      <c r="Z60" s="136"/>
      <c r="AA60" s="136"/>
      <c r="AB60" s="136"/>
      <c r="AC60" s="136"/>
    </row>
    <row r="61" spans="7:29" x14ac:dyDescent="0.2"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7:29" x14ac:dyDescent="0.2"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7:29" x14ac:dyDescent="0.2">
      <c r="U63" s="136"/>
      <c r="V63" s="136"/>
      <c r="W63" s="136"/>
      <c r="X63" s="136"/>
      <c r="Y63" s="136"/>
      <c r="Z63" s="136"/>
      <c r="AA63" s="136"/>
      <c r="AB63" s="136"/>
      <c r="AC63" s="136"/>
    </row>
    <row r="82" spans="2:7" ht="15" x14ac:dyDescent="0.25">
      <c r="B82" s="29" t="s">
        <v>20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2 para CALB A</v>
      </c>
      <c r="D83" s="145"/>
      <c r="E83" s="145"/>
      <c r="F83" s="145"/>
      <c r="G83" s="149"/>
    </row>
    <row r="84" spans="2:7" ht="15" x14ac:dyDescent="0.25">
      <c r="B84" s="30" t="s">
        <v>5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21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16</v>
      </c>
      <c r="C86" s="150" t="str">
        <f>C9</f>
        <v>Ponto 3 (Apoio DLT)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99" spans="3:7" x14ac:dyDescent="0.2">
      <c r="C99" s="144" t="s">
        <v>78</v>
      </c>
      <c r="D99" s="144" t="s">
        <v>79</v>
      </c>
    </row>
    <row r="100" spans="3:7" x14ac:dyDescent="0.2">
      <c r="C100" s="144"/>
      <c r="D100" s="144"/>
    </row>
    <row r="101" spans="3:7" x14ac:dyDescent="0.2">
      <c r="C101" s="78">
        <f>H13</f>
        <v>0</v>
      </c>
      <c r="D101" s="79">
        <f>I13</f>
        <v>0</v>
      </c>
      <c r="F101" s="100">
        <f>I33</f>
        <v>78</v>
      </c>
      <c r="G101" t="s">
        <v>27</v>
      </c>
    </row>
    <row r="102" spans="3:7" x14ac:dyDescent="0.2">
      <c r="C102" s="80">
        <f>H15</f>
        <v>-7.8</v>
      </c>
      <c r="D102" s="81">
        <f>I15</f>
        <v>7.8</v>
      </c>
    </row>
    <row r="103" spans="3:7" x14ac:dyDescent="0.2">
      <c r="C103" s="82">
        <f>H17</f>
        <v>-7.8</v>
      </c>
      <c r="D103" s="83">
        <f>I17</f>
        <v>0</v>
      </c>
    </row>
    <row r="104" spans="3:7" x14ac:dyDescent="0.2">
      <c r="C104" s="144"/>
      <c r="D104" s="144"/>
    </row>
    <row r="105" spans="3:7" x14ac:dyDescent="0.2">
      <c r="C105" s="78">
        <f>H21</f>
        <v>0</v>
      </c>
      <c r="D105" s="79">
        <f>I21</f>
        <v>0</v>
      </c>
    </row>
    <row r="106" spans="3:7" x14ac:dyDescent="0.2">
      <c r="C106" s="80">
        <f>H23</f>
        <v>22.25</v>
      </c>
      <c r="D106" s="81">
        <f>I23</f>
        <v>22.25</v>
      </c>
      <c r="G106" s="99">
        <f>N29</f>
        <v>1.5</v>
      </c>
    </row>
    <row r="107" spans="3:7" x14ac:dyDescent="0.2">
      <c r="C107" s="82">
        <f>H25</f>
        <v>14</v>
      </c>
      <c r="D107" s="83">
        <f>I25</f>
        <v>0</v>
      </c>
      <c r="G107" s="144"/>
    </row>
    <row r="108" spans="3:7" x14ac:dyDescent="0.2">
      <c r="C108" s="144"/>
      <c r="D108" s="144"/>
      <c r="G108" s="155">
        <f>K33</f>
        <v>332</v>
      </c>
    </row>
    <row r="109" spans="3:7" x14ac:dyDescent="0.2">
      <c r="C109" s="84">
        <f>H29</f>
        <v>3.18</v>
      </c>
      <c r="D109" s="144"/>
      <c r="G109" s="156"/>
    </row>
    <row r="110" spans="3:7" x14ac:dyDescent="0.2">
      <c r="C110" s="144"/>
      <c r="D110" s="144"/>
    </row>
    <row r="112" spans="3:7" x14ac:dyDescent="0.2">
      <c r="C112" s="85">
        <f>L13</f>
        <v>0</v>
      </c>
      <c r="D112" s="86">
        <f>M13</f>
        <v>0</v>
      </c>
      <c r="G112" s="157" t="str">
        <f>IF(R8=1,"Minho",IF(R8=2,"Trás-os-Montes",IF(R8=3,"centro","sul")))</f>
        <v>sul</v>
      </c>
    </row>
    <row r="113" spans="1:7" x14ac:dyDescent="0.2">
      <c r="C113" s="87">
        <f>L15</f>
        <v>16.04</v>
      </c>
      <c r="D113" s="88">
        <f>M15</f>
        <v>14.64</v>
      </c>
      <c r="G113" s="157"/>
    </row>
    <row r="114" spans="1:7" x14ac:dyDescent="0.2">
      <c r="C114" s="89">
        <f>L17</f>
        <v>16.010000000000002</v>
      </c>
      <c r="D114" s="90">
        <f>M17</f>
        <v>0</v>
      </c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53</v>
      </c>
      <c r="D117" s="134" t="s">
        <v>54</v>
      </c>
      <c r="E117" s="134" t="s">
        <v>55</v>
      </c>
      <c r="F117" s="134" t="s">
        <v>48</v>
      </c>
    </row>
    <row r="118" spans="1:7" x14ac:dyDescent="0.2">
      <c r="C118" s="92">
        <f>H39</f>
        <v>43.6</v>
      </c>
      <c r="D118" s="93">
        <f>I39</f>
        <v>40.799999999999997</v>
      </c>
      <c r="E118" s="93">
        <f>J39</f>
        <v>39.200000000000003</v>
      </c>
      <c r="F118" s="106">
        <f>K39</f>
        <v>46.5</v>
      </c>
      <c r="G118" t="s">
        <v>22</v>
      </c>
    </row>
    <row r="119" spans="1:7" ht="14.1" customHeight="1" x14ac:dyDescent="0.2"/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53</v>
      </c>
      <c r="D125" s="134" t="s">
        <v>54</v>
      </c>
      <c r="E125" s="134" t="s">
        <v>55</v>
      </c>
      <c r="F125" s="134" t="s">
        <v>48</v>
      </c>
    </row>
    <row r="127" spans="1:7" x14ac:dyDescent="0.2">
      <c r="B127" s="97" t="s">
        <v>71</v>
      </c>
      <c r="C127" s="98">
        <f>H46</f>
        <v>31.933706313859886</v>
      </c>
      <c r="D127" s="98">
        <f>I46</f>
        <v>31.933706313859886</v>
      </c>
      <c r="E127" s="98">
        <f>J46</f>
        <v>31.933706313859886</v>
      </c>
      <c r="F127" s="98">
        <f>K46</f>
        <v>38.238274625663699</v>
      </c>
      <c r="G127" s="94" t="s">
        <v>22</v>
      </c>
    </row>
    <row r="128" spans="1:7" x14ac:dyDescent="0.2">
      <c r="B128" s="96" t="s">
        <v>72</v>
      </c>
      <c r="C128" s="77">
        <f>H48</f>
        <v>20.189860195237163</v>
      </c>
      <c r="D128" s="77">
        <f>I48</f>
        <v>20.189860195237163</v>
      </c>
      <c r="E128" s="77">
        <f>J48</f>
        <v>20.189860195237163</v>
      </c>
      <c r="F128" s="77">
        <f>K48</f>
        <v>26.494428507040979</v>
      </c>
      <c r="G128" s="94" t="s">
        <v>22</v>
      </c>
    </row>
    <row r="131" spans="3:7" x14ac:dyDescent="0.2">
      <c r="C131" s="104">
        <f>H50</f>
        <v>22.114550085530453</v>
      </c>
      <c r="D131" s="104">
        <f>I50</f>
        <v>22.114550085530453</v>
      </c>
      <c r="E131" s="104">
        <f>J50</f>
        <v>22.114550085530453</v>
      </c>
      <c r="F131" s="101">
        <f>K50</f>
        <v>28.41911839733427</v>
      </c>
      <c r="G131" s="105" t="s">
        <v>22</v>
      </c>
    </row>
    <row r="132" spans="3:7" x14ac:dyDescent="0.2">
      <c r="C132" s="144"/>
      <c r="D132" s="144"/>
      <c r="E132" s="144"/>
      <c r="F132" s="144"/>
    </row>
    <row r="137" spans="3:7" x14ac:dyDescent="0.2">
      <c r="C137" s="135" t="s">
        <v>53</v>
      </c>
      <c r="D137" s="135" t="s">
        <v>54</v>
      </c>
      <c r="E137" s="135" t="s">
        <v>55</v>
      </c>
      <c r="F137" s="135" t="s">
        <v>48</v>
      </c>
    </row>
    <row r="138" spans="3:7" ht="21" customHeight="1" x14ac:dyDescent="0.2">
      <c r="C138" s="95">
        <f>H57</f>
        <v>43.6</v>
      </c>
      <c r="D138" s="95">
        <f>I57</f>
        <v>40.9</v>
      </c>
      <c r="E138" s="95">
        <f>J57</f>
        <v>39.299999999999997</v>
      </c>
      <c r="F138" s="101">
        <f>K57</f>
        <v>46.593760724519662</v>
      </c>
      <c r="G138" s="105" t="s">
        <v>22</v>
      </c>
    </row>
  </sheetData>
  <mergeCells count="9">
    <mergeCell ref="C88:D88"/>
    <mergeCell ref="G108:G109"/>
    <mergeCell ref="G112:G113"/>
    <mergeCell ref="C4:E4"/>
    <mergeCell ref="C5:D5"/>
    <mergeCell ref="C6:E6"/>
    <mergeCell ref="C7:E7"/>
    <mergeCell ref="C8:E8"/>
    <mergeCell ref="C9:E9"/>
  </mergeCells>
  <pageMargins left="0.75" right="0.75" top="1" bottom="1" header="0.5" footer="0.5"/>
  <pageSetup paperSize="0" scale="96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7041" r:id="rId3" name="Lista pendente 288">
              <controlPr defaultSize="0" autoLine="0" autoPict="0">
                <anchor moveWithCells="1">
                  <from>
                    <xdr:col>11</xdr:col>
                    <xdr:colOff>476250</xdr:colOff>
                    <xdr:row>21</xdr:row>
                    <xdr:rowOff>28575</xdr:rowOff>
                  </from>
                  <to>
                    <xdr:col>14</xdr:col>
                    <xdr:colOff>238125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72B5A-B1A5-4337-8330-B1F8BA8F9C00}">
  <sheetPr>
    <pageSetUpPr fitToPage="1"/>
  </sheetPr>
  <dimension ref="A2:AC138"/>
  <sheetViews>
    <sheetView showGridLines="0" topLeftCell="A68" zoomScale="85" zoomScaleNormal="85" workbookViewId="0">
      <selection activeCell="A82" sqref="A82:G138"/>
    </sheetView>
  </sheetViews>
  <sheetFormatPr defaultColWidth="11.42578125" defaultRowHeight="12.75" x14ac:dyDescent="0.2"/>
  <cols>
    <col min="1" max="1" width="8.7109375" customWidth="1" collapsed="1"/>
    <col min="2" max="2" width="12.85546875" customWidth="1" collapsed="1"/>
    <col min="3" max="6" width="11.42578125" customWidth="1" collapsed="1"/>
    <col min="7" max="8" width="11.28515625" customWidth="1" collapsed="1"/>
  </cols>
  <sheetData>
    <row r="2" spans="2:29" x14ac:dyDescent="0.2">
      <c r="U2" s="137"/>
      <c r="V2" s="137"/>
      <c r="W2" s="137"/>
      <c r="X2" s="137"/>
      <c r="Y2" s="137"/>
      <c r="Z2" s="137"/>
      <c r="AA2" s="136"/>
      <c r="AB2" s="136"/>
      <c r="AC2" s="136"/>
    </row>
    <row r="3" spans="2:29" x14ac:dyDescent="0.2">
      <c r="S3" s="21" t="s">
        <v>29</v>
      </c>
      <c r="U3" s="132"/>
      <c r="V3" s="132"/>
      <c r="W3" s="132">
        <v>-119.74</v>
      </c>
      <c r="X3" s="132">
        <v>-119.03</v>
      </c>
      <c r="Y3" s="132"/>
      <c r="Z3" s="137"/>
      <c r="AA3" s="136"/>
      <c r="AB3" s="136"/>
      <c r="AC3" s="136"/>
    </row>
    <row r="4" spans="2:29" ht="20.100000000000001" customHeight="1" x14ac:dyDescent="0.25">
      <c r="B4" s="29" t="s">
        <v>2</v>
      </c>
      <c r="C4" s="158" t="s">
        <v>85</v>
      </c>
      <c r="D4" s="159"/>
      <c r="E4" s="160"/>
      <c r="S4" s="21" t="s">
        <v>40</v>
      </c>
      <c r="U4" s="132"/>
      <c r="V4" s="132"/>
      <c r="W4" s="132">
        <v>-120.93</v>
      </c>
      <c r="X4" s="132">
        <v>-121.67</v>
      </c>
      <c r="Y4" s="132"/>
      <c r="Z4" s="137"/>
      <c r="AA4" s="136"/>
      <c r="AB4" s="136"/>
      <c r="AC4" s="136"/>
    </row>
    <row r="5" spans="2:29" ht="18.75" customHeight="1" x14ac:dyDescent="0.25">
      <c r="B5" s="30" t="s">
        <v>20</v>
      </c>
      <c r="C5" s="161" t="s">
        <v>85</v>
      </c>
      <c r="D5" s="161"/>
      <c r="E5" s="24"/>
      <c r="S5" s="21" t="s">
        <v>30</v>
      </c>
      <c r="U5" s="132"/>
      <c r="V5" s="132"/>
      <c r="W5" s="132" t="s">
        <v>7</v>
      </c>
      <c r="X5" s="132"/>
      <c r="Y5" s="132"/>
      <c r="Z5" s="137"/>
      <c r="AA5" s="136"/>
      <c r="AB5" s="136"/>
      <c r="AC5" s="136"/>
    </row>
    <row r="6" spans="2:29" ht="20.100000000000001" customHeight="1" x14ac:dyDescent="0.25">
      <c r="B6" s="30" t="s">
        <v>17</v>
      </c>
      <c r="C6" s="162" t="s">
        <v>89</v>
      </c>
      <c r="D6" s="163"/>
      <c r="E6" s="164"/>
      <c r="S6" s="20" t="s">
        <v>69</v>
      </c>
      <c r="U6" s="132"/>
      <c r="V6" s="132"/>
      <c r="W6" s="132">
        <f>IF(ISERROR($W$4+120*LOG(L13)+55*LOG(H29)),0,$W$4+120*LOG(L13)+55*LOG(H29))</f>
        <v>0</v>
      </c>
      <c r="X6" s="132">
        <f>IF(ISERROR($W$4+120*LOG(M13)+55*LOG(H29)),0,$W$4+120*LOG(M13)+55*LOG(H29))</f>
        <v>0</v>
      </c>
      <c r="Y6" s="132"/>
      <c r="Z6" s="137"/>
      <c r="AA6" s="136"/>
      <c r="AB6" s="136"/>
      <c r="AC6" s="136"/>
    </row>
    <row r="7" spans="2:29" ht="18.75" customHeight="1" x14ac:dyDescent="0.25">
      <c r="B7" s="30" t="s">
        <v>5</v>
      </c>
      <c r="C7" s="162" t="s">
        <v>88</v>
      </c>
      <c r="D7" s="165"/>
      <c r="E7" s="166"/>
      <c r="U7" s="132"/>
      <c r="V7" s="132"/>
      <c r="W7" s="132">
        <f>IF(ISERROR($X$4+120*LOG(L15)+55*LOG(H29)),0,$X$4+120*LOG(L15)+55*LOG(H29))</f>
        <v>50.588015272921155</v>
      </c>
      <c r="X7" s="132">
        <f>IF(ISERROR($X$4+120*LOG(M15)+55*LOG(H29)),0,$X$4+120*LOG(M15)+55*LOG(H29))</f>
        <v>45.828420805828557</v>
      </c>
      <c r="Y7" s="132"/>
      <c r="Z7" s="137"/>
      <c r="AA7" s="136"/>
      <c r="AB7" s="136"/>
      <c r="AC7" s="136"/>
    </row>
    <row r="8" spans="2:29" ht="15.75" customHeight="1" x14ac:dyDescent="0.25">
      <c r="B8" s="30" t="s">
        <v>21</v>
      </c>
      <c r="C8" s="162" t="s">
        <v>86</v>
      </c>
      <c r="D8" s="163"/>
      <c r="E8" s="166"/>
      <c r="R8" s="131">
        <v>4</v>
      </c>
      <c r="U8" s="132"/>
      <c r="V8" s="132"/>
      <c r="W8" s="132">
        <f>IF(ISERROR($W$4+120*LOG(L17)+55*LOG(H29)),0,$W$4+120*LOG(L17)+55*LOG(H29))</f>
        <v>51.230451429459762</v>
      </c>
      <c r="X8" s="132">
        <f>IF(ISERROR($W$4+120*LOG(M17)+55*LOG(H29)),0,$W$4+120*LOG(M17)+55*LOG(H29))</f>
        <v>0</v>
      </c>
      <c r="Y8" s="132"/>
      <c r="Z8" s="137"/>
      <c r="AA8" s="136"/>
      <c r="AB8" s="136"/>
      <c r="AC8" s="136"/>
    </row>
    <row r="9" spans="2:29" ht="17.100000000000001" customHeight="1" x14ac:dyDescent="0.25">
      <c r="B9" s="31" t="s">
        <v>16</v>
      </c>
      <c r="C9" s="167" t="s">
        <v>91</v>
      </c>
      <c r="D9" s="168"/>
      <c r="E9" s="169"/>
      <c r="U9" s="132"/>
      <c r="V9" s="132"/>
      <c r="W9" s="132"/>
      <c r="X9" s="132"/>
      <c r="Y9" s="132"/>
      <c r="Z9" s="137"/>
      <c r="AA9" s="136"/>
      <c r="AB9" s="136"/>
      <c r="AC9" s="136"/>
    </row>
    <row r="10" spans="2:29" ht="20.100000000000001" customHeight="1" x14ac:dyDescent="0.2">
      <c r="U10" s="132"/>
      <c r="V10" s="132"/>
      <c r="W10" s="132" t="s">
        <v>8</v>
      </c>
      <c r="X10" s="132"/>
      <c r="Y10" s="132"/>
      <c r="Z10" s="137"/>
      <c r="AA10" s="136"/>
      <c r="AB10" s="136"/>
      <c r="AC10" s="136"/>
    </row>
    <row r="11" spans="2:29" ht="11.1" customHeight="1" x14ac:dyDescent="0.2">
      <c r="G11" s="1"/>
      <c r="H11" s="2"/>
      <c r="I11" s="2"/>
      <c r="J11" s="2"/>
      <c r="K11" s="2"/>
      <c r="L11" s="2"/>
      <c r="M11" s="2"/>
      <c r="N11" s="2"/>
      <c r="O11" s="4"/>
      <c r="U11" s="132"/>
      <c r="V11" s="132"/>
      <c r="W11" s="132"/>
      <c r="X11" s="132"/>
      <c r="Y11" s="132"/>
      <c r="Z11" s="137"/>
      <c r="AA11" s="136"/>
      <c r="AB11" s="136"/>
      <c r="AC11" s="136"/>
    </row>
    <row r="12" spans="2:29" ht="26.1" customHeight="1" x14ac:dyDescent="0.2">
      <c r="G12" s="5"/>
      <c r="H12" s="72" t="s">
        <v>0</v>
      </c>
      <c r="I12" s="6"/>
      <c r="J12" s="6"/>
      <c r="K12" s="6"/>
      <c r="L12" s="72" t="s">
        <v>1</v>
      </c>
      <c r="M12" s="6"/>
      <c r="N12" s="6"/>
      <c r="O12" s="7"/>
      <c r="U12" s="132"/>
      <c r="V12" s="132"/>
      <c r="W12" s="132">
        <f>IF(ISERROR(-109.6+120*LOG10(L13)+55*LOG10(H29)),0,-109.6+120*LOG10(L13)+55*LOG10(H29))</f>
        <v>0</v>
      </c>
      <c r="X12" s="132">
        <f>IF(ISERROR(-109.6+120*LOG10(M13)+55*LOG10(H29)),0,-109.6+120*LOG10(M13)+55*LOG10(H29))</f>
        <v>0</v>
      </c>
      <c r="Y12" s="132"/>
      <c r="Z12" s="137"/>
      <c r="AA12" s="136"/>
      <c r="AB12" s="136"/>
      <c r="AC12" s="136"/>
    </row>
    <row r="13" spans="2:29" ht="24.75" customHeight="1" x14ac:dyDescent="0.2">
      <c r="G13" s="5"/>
      <c r="H13" s="141"/>
      <c r="I13" s="141"/>
      <c r="J13" s="6"/>
      <c r="K13" s="6"/>
      <c r="L13" s="114"/>
      <c r="M13" s="114"/>
      <c r="N13" s="6"/>
      <c r="O13" s="7"/>
      <c r="U13" s="132"/>
      <c r="V13" s="132"/>
      <c r="W13" s="132">
        <f>IF(ISERROR(-109.6+120*LOG10(L15)+55*LOG10(H29)),0,-109.6+120*LOG10(L15)+55*LOG10(H29))</f>
        <v>62.658015272921162</v>
      </c>
      <c r="X13" s="132">
        <f>IF(ISERROR(-109.6+120*LOG10(M15)+55*LOG10(H29)),0,-109.6+120*LOG10(M15)+55*LOG10(H29))</f>
        <v>57.898420805828565</v>
      </c>
      <c r="Y13" s="132"/>
      <c r="Z13" s="137"/>
      <c r="AA13" s="136"/>
      <c r="AB13" s="136"/>
      <c r="AC13" s="136"/>
    </row>
    <row r="14" spans="2:29" ht="17.100000000000001" customHeight="1" x14ac:dyDescent="0.2">
      <c r="G14" s="5"/>
      <c r="H14" s="73"/>
      <c r="I14" s="73"/>
      <c r="J14" s="6"/>
      <c r="K14" s="6"/>
      <c r="L14" s="74"/>
      <c r="M14" s="74"/>
      <c r="N14" s="6"/>
      <c r="O14" s="7"/>
      <c r="U14" s="132"/>
      <c r="V14" s="132"/>
      <c r="W14" s="132">
        <f>IF(ISERROR(-109.6+120*LOG10(L17)+55*LOG10(H29)),0,-109.6+120*LOG10(L17)+55*LOG10(H29))</f>
        <v>62.560451429459775</v>
      </c>
      <c r="X14" s="132">
        <f>IF(ISERROR(-109.6+120*LOG10(M17)+55*LOG10(H29)),0,-109.6+120*LOG10(M17)+55*LOG10(H29))</f>
        <v>0</v>
      </c>
      <c r="Y14" s="132"/>
      <c r="Z14" s="137"/>
      <c r="AA14" s="136"/>
      <c r="AB14" s="136"/>
      <c r="AC14" s="136"/>
    </row>
    <row r="15" spans="2:29" ht="24.75" customHeight="1" x14ac:dyDescent="0.2">
      <c r="G15" s="5"/>
      <c r="H15" s="141">
        <v>-7.8</v>
      </c>
      <c r="I15" s="141">
        <v>7.8</v>
      </c>
      <c r="J15" s="6"/>
      <c r="K15" s="6"/>
      <c r="L15" s="114">
        <v>16.04</v>
      </c>
      <c r="M15" s="114">
        <v>14.64</v>
      </c>
      <c r="N15" s="6"/>
      <c r="O15" s="7"/>
      <c r="U15" s="132"/>
      <c r="V15" s="132"/>
      <c r="W15" s="132"/>
      <c r="X15" s="132"/>
      <c r="Y15" s="132"/>
      <c r="Z15" s="137"/>
      <c r="AA15" s="136"/>
      <c r="AB15" s="136"/>
      <c r="AC15" s="136"/>
    </row>
    <row r="16" spans="2:29" ht="18" customHeight="1" x14ac:dyDescent="0.2">
      <c r="G16" s="5"/>
      <c r="H16" s="73"/>
      <c r="I16" s="73"/>
      <c r="J16" s="6"/>
      <c r="K16" s="6"/>
      <c r="L16" s="74"/>
      <c r="M16" s="74"/>
      <c r="N16" s="6"/>
      <c r="O16" s="7"/>
      <c r="U16" s="132"/>
      <c r="V16" s="132"/>
      <c r="W16" s="132" t="s">
        <v>9</v>
      </c>
      <c r="X16" s="132"/>
      <c r="Y16" s="132"/>
      <c r="Z16" s="137"/>
      <c r="AA16" s="136"/>
      <c r="AB16" s="136"/>
      <c r="AC16" s="136"/>
    </row>
    <row r="17" spans="7:29" ht="24.75" customHeight="1" x14ac:dyDescent="0.2">
      <c r="G17" s="5"/>
      <c r="H17" s="141">
        <v>-7.8</v>
      </c>
      <c r="I17" s="141"/>
      <c r="J17" s="6"/>
      <c r="K17" s="6"/>
      <c r="L17" s="114">
        <v>16.010000000000002</v>
      </c>
      <c r="M17" s="114"/>
      <c r="N17" s="6"/>
      <c r="O17" s="7"/>
      <c r="U17" s="132"/>
      <c r="V17" s="132"/>
      <c r="W17" s="132">
        <f>SQRT((H13-$K$33)^2+(($H$21+I33)-($N$29+N33))^2)</f>
        <v>377.07459474220747</v>
      </c>
      <c r="X17" s="132">
        <f>SQRT((I13-$K$33)^2+(($I$21+I33)-($N$29+N33))^2)</f>
        <v>377.07459474220747</v>
      </c>
      <c r="Y17" s="132"/>
      <c r="Z17" s="137"/>
      <c r="AA17" s="136"/>
      <c r="AB17" s="136"/>
      <c r="AC17" s="136"/>
    </row>
    <row r="18" spans="7:29" ht="12.75" customHeight="1" x14ac:dyDescent="0.2">
      <c r="G18" s="5"/>
      <c r="H18" s="6"/>
      <c r="I18" s="6"/>
      <c r="J18" s="6"/>
      <c r="K18" s="6"/>
      <c r="L18" s="6"/>
      <c r="M18" s="6"/>
      <c r="N18" s="6"/>
      <c r="O18" s="7"/>
      <c r="U18" s="132"/>
      <c r="V18" s="132"/>
      <c r="W18" s="132">
        <f>SQRT((H15-$K$33)^2+(($H$23+I33)-($N$29+N33))^2)</f>
        <v>385.08259179038464</v>
      </c>
      <c r="X18" s="132">
        <f>SQRT((I15-$K$33)^2+(($I$23+I33)-($N$29+N33))^2)</f>
        <v>369.49452296346692</v>
      </c>
      <c r="Y18" s="132"/>
      <c r="Z18" s="137"/>
      <c r="AA18" s="136"/>
      <c r="AB18" s="136"/>
      <c r="AC18" s="136"/>
    </row>
    <row r="19" spans="7:29" ht="12" customHeight="1" x14ac:dyDescent="0.2">
      <c r="G19" s="5"/>
      <c r="H19" s="6"/>
      <c r="I19" s="6"/>
      <c r="J19" s="6"/>
      <c r="K19" s="6"/>
      <c r="L19" s="6"/>
      <c r="M19" s="6"/>
      <c r="N19" s="6"/>
      <c r="O19" s="7"/>
      <c r="U19" s="132"/>
      <c r="V19" s="132"/>
      <c r="W19" s="132">
        <f>SQRT((H17-$K$33)^2+(($H$25+I33)-($N$29+N33))^2)</f>
        <v>384.85489473306689</v>
      </c>
      <c r="X19" s="132">
        <f>SQRT((I17-$K$33)^2+(($I$25+I33)-($N$29+N33))^2)</f>
        <v>377.07459474220747</v>
      </c>
      <c r="Y19" s="132"/>
      <c r="Z19" s="137"/>
      <c r="AA19" s="136"/>
      <c r="AB19" s="136"/>
      <c r="AC19" s="136"/>
    </row>
    <row r="20" spans="7:29" ht="20.100000000000001" customHeight="1" x14ac:dyDescent="0.2">
      <c r="G20" s="5"/>
      <c r="H20" s="72" t="s">
        <v>3</v>
      </c>
      <c r="I20" s="6"/>
      <c r="J20" s="6"/>
      <c r="K20" s="6"/>
      <c r="L20" s="10"/>
      <c r="M20" s="6"/>
      <c r="N20" s="6"/>
      <c r="O20" s="7"/>
      <c r="U20" s="132"/>
      <c r="V20" s="132"/>
      <c r="W20" s="132"/>
      <c r="X20" s="132"/>
      <c r="Y20" s="132"/>
      <c r="Z20" s="137"/>
      <c r="AA20" s="136"/>
      <c r="AB20" s="136"/>
      <c r="AC20" s="136"/>
    </row>
    <row r="21" spans="7:29" ht="24.75" customHeight="1" x14ac:dyDescent="0.2">
      <c r="G21" s="5"/>
      <c r="H21" s="141"/>
      <c r="I21" s="141"/>
      <c r="J21" s="6"/>
      <c r="K21" s="6"/>
      <c r="L21" s="10"/>
      <c r="M21" s="6"/>
      <c r="N21" s="6"/>
      <c r="O21" s="7"/>
      <c r="U21" s="132"/>
      <c r="V21" s="132"/>
      <c r="W21" s="132" t="s">
        <v>10</v>
      </c>
      <c r="X21" s="132"/>
      <c r="Y21" s="132"/>
      <c r="Z21" s="137"/>
      <c r="AA21" s="136"/>
      <c r="AB21" s="136"/>
      <c r="AC21" s="136"/>
    </row>
    <row r="22" spans="7:29" ht="14.25" x14ac:dyDescent="0.2">
      <c r="G22" s="5"/>
      <c r="H22" s="73"/>
      <c r="I22" s="73"/>
      <c r="J22" s="6"/>
      <c r="K22" s="6"/>
      <c r="L22" s="10"/>
      <c r="M22" s="6"/>
      <c r="N22" s="6"/>
      <c r="O22" s="7"/>
      <c r="U22" s="132"/>
      <c r="V22" s="132"/>
      <c r="W22" s="132">
        <f t="shared" ref="W22:X24" si="0">IF(ISERROR(W12-11.4*LOG10(W17)-5.8+($I$33/300)),"",W12-11.4*LOG10(W17)-5.8+($I$33/300))</f>
        <v>-34.907937578471028</v>
      </c>
      <c r="X22" s="132">
        <f t="shared" si="0"/>
        <v>-34.907937578471028</v>
      </c>
      <c r="Y22" s="132"/>
      <c r="Z22" s="137"/>
      <c r="AA22" s="136"/>
      <c r="AB22" s="136"/>
      <c r="AC22" s="136"/>
    </row>
    <row r="23" spans="7:29" ht="24.75" customHeight="1" x14ac:dyDescent="0.2">
      <c r="G23" s="5"/>
      <c r="H23" s="141">
        <v>22.25</v>
      </c>
      <c r="I23" s="141">
        <v>22.25</v>
      </c>
      <c r="J23" s="6"/>
      <c r="K23" s="6"/>
      <c r="L23" s="111"/>
      <c r="M23" s="6"/>
      <c r="N23" s="6"/>
      <c r="O23" s="7"/>
      <c r="U23" s="132"/>
      <c r="V23" s="132"/>
      <c r="W23" s="132">
        <f t="shared" si="0"/>
        <v>27.646034303996814</v>
      </c>
      <c r="X23" s="132">
        <f t="shared" si="0"/>
        <v>23.091022879780876</v>
      </c>
      <c r="Y23" s="132"/>
      <c r="Z23" s="137"/>
      <c r="AA23" s="136"/>
      <c r="AB23" s="136"/>
      <c r="AC23" s="136"/>
    </row>
    <row r="24" spans="7:29" ht="15" customHeight="1" x14ac:dyDescent="0.2">
      <c r="G24" s="5"/>
      <c r="H24" s="73"/>
      <c r="I24" s="73"/>
      <c r="J24" s="6"/>
      <c r="K24" s="6"/>
      <c r="L24" s="6"/>
      <c r="M24" s="6"/>
      <c r="N24" s="6"/>
      <c r="O24" s="7"/>
      <c r="U24" s="132"/>
      <c r="V24" s="132"/>
      <c r="W24" s="132">
        <f t="shared" si="0"/>
        <v>27.551398798001095</v>
      </c>
      <c r="X24" s="132">
        <f t="shared" si="0"/>
        <v>-34.907937578471028</v>
      </c>
      <c r="Y24" s="132"/>
      <c r="Z24" s="137"/>
      <c r="AA24" s="136"/>
      <c r="AB24" s="136"/>
      <c r="AC24" s="136"/>
    </row>
    <row r="25" spans="7:29" ht="24.75" customHeight="1" x14ac:dyDescent="0.2">
      <c r="G25" s="5"/>
      <c r="H25" s="141">
        <v>14</v>
      </c>
      <c r="I25" s="141"/>
      <c r="J25" s="6"/>
      <c r="K25" s="6"/>
      <c r="L25" s="6"/>
      <c r="M25" s="6"/>
      <c r="N25" s="6"/>
      <c r="O25" s="7"/>
      <c r="U25" s="132"/>
      <c r="V25" s="132" t="s">
        <v>12</v>
      </c>
      <c r="W25" s="132">
        <f>IF(ISERROR(10*LOG10(10^(W22/10)+10^(W23/10)+10^(W24/10))),"",10*LOG10(10^(W22/10)+10^(W23/10)+10^(W24/10)))</f>
        <v>30.609275492624008</v>
      </c>
      <c r="X25" s="132">
        <f>IF(ISERROR(10*LOG10(10^(X22/10)+10^(X23/10)+10^(X24/10))),"",10*LOG10(10^(X22/10)+10^(X23/10)+10^(X24/10)))</f>
        <v>23.09103664926193</v>
      </c>
      <c r="Y25" s="132">
        <f>IF(ISERROR(10*LOG10(10^(W25/10)+10^(X25/10))),"",10*LOG10(10^(W25/10)+10^(X25/10)))</f>
        <v>31.317345231095054</v>
      </c>
      <c r="Z25" s="137"/>
      <c r="AA25" s="136"/>
      <c r="AB25" s="136"/>
      <c r="AC25" s="136"/>
    </row>
    <row r="26" spans="7:29" x14ac:dyDescent="0.2">
      <c r="G26" s="5"/>
      <c r="H26" s="6"/>
      <c r="I26" s="6"/>
      <c r="J26" s="6"/>
      <c r="K26" s="6"/>
      <c r="L26" s="6"/>
      <c r="M26" s="6"/>
      <c r="N26" s="6"/>
      <c r="O26" s="7"/>
      <c r="U26" s="132"/>
      <c r="V26" s="132"/>
      <c r="W26" s="132" t="s">
        <v>11</v>
      </c>
      <c r="X26" s="132"/>
      <c r="Y26" s="132"/>
      <c r="Z26" s="137"/>
      <c r="AA26" s="136"/>
      <c r="AB26" s="136"/>
      <c r="AC26" s="136"/>
    </row>
    <row r="27" spans="7:29" ht="15.75" x14ac:dyDescent="0.25">
      <c r="G27" s="5"/>
      <c r="H27" s="6"/>
      <c r="I27" s="6"/>
      <c r="J27" s="6"/>
      <c r="K27" s="6"/>
      <c r="L27" s="6"/>
      <c r="M27" s="6"/>
      <c r="N27" s="11" t="s">
        <v>26</v>
      </c>
      <c r="O27" s="7"/>
      <c r="U27" s="132"/>
      <c r="V27" s="132"/>
      <c r="W27" s="132">
        <f t="shared" ref="W27:X29" si="1">IF(ISERROR(W6-11.4*LOG10(W17)-5.8+($I$33/300)),"",W6-11.4*LOG10(W17)-5.8+($I$33/300))</f>
        <v>-34.907937578471028</v>
      </c>
      <c r="X27" s="132">
        <f t="shared" si="1"/>
        <v>-34.907937578471028</v>
      </c>
      <c r="Y27" s="132"/>
      <c r="Z27" s="137"/>
      <c r="AA27" s="136"/>
      <c r="AB27" s="136"/>
      <c r="AC27" s="136"/>
    </row>
    <row r="28" spans="7:29" ht="15.75" customHeight="1" x14ac:dyDescent="0.2">
      <c r="G28" s="5"/>
      <c r="H28" s="72" t="s">
        <v>4</v>
      </c>
      <c r="I28" s="6"/>
      <c r="J28" s="6"/>
      <c r="K28" s="6"/>
      <c r="L28" s="6"/>
      <c r="M28" s="10"/>
      <c r="N28" s="6"/>
      <c r="O28" s="7"/>
      <c r="U28" s="132"/>
      <c r="V28" s="132"/>
      <c r="W28" s="132">
        <f t="shared" si="1"/>
        <v>15.576034303996808</v>
      </c>
      <c r="X28" s="132">
        <f t="shared" si="1"/>
        <v>11.021022879780871</v>
      </c>
      <c r="Y28" s="132"/>
      <c r="Z28" s="137"/>
      <c r="AA28" s="136"/>
      <c r="AB28" s="136"/>
      <c r="AC28" s="136"/>
    </row>
    <row r="29" spans="7:29" ht="24.75" customHeight="1" x14ac:dyDescent="0.2">
      <c r="G29" s="5"/>
      <c r="H29" s="141">
        <v>3.18</v>
      </c>
      <c r="I29" s="13" t="s">
        <v>6</v>
      </c>
      <c r="J29" s="6"/>
      <c r="K29" s="6"/>
      <c r="L29" s="6"/>
      <c r="M29" s="125" t="s">
        <v>66</v>
      </c>
      <c r="N29" s="71">
        <v>1.5</v>
      </c>
      <c r="O29" s="107" t="s">
        <v>27</v>
      </c>
      <c r="U29" s="132"/>
      <c r="V29" s="132"/>
      <c r="W29" s="132">
        <f t="shared" si="1"/>
        <v>16.221398798001086</v>
      </c>
      <c r="X29" s="132">
        <f t="shared" si="1"/>
        <v>-34.907937578471028</v>
      </c>
      <c r="Y29" s="132"/>
      <c r="Z29" s="137"/>
      <c r="AA29" s="136"/>
      <c r="AB29" s="136"/>
      <c r="AC29" s="136"/>
    </row>
    <row r="30" spans="7:29" x14ac:dyDescent="0.2">
      <c r="G30" s="5"/>
      <c r="H30" s="6"/>
      <c r="I30" s="6"/>
      <c r="J30" s="6"/>
      <c r="K30" s="6"/>
      <c r="L30" s="6"/>
      <c r="M30" s="6"/>
      <c r="N30" s="6"/>
      <c r="O30" s="7"/>
      <c r="U30" s="132"/>
      <c r="V30" s="132" t="s">
        <v>12</v>
      </c>
      <c r="W30" s="132">
        <f>IF(ISERROR(10*LOG10(10^(W27/10)+10^(W28/10)+10^(W29/10))),"",10*LOG10(10^(W27/10)+10^(W28/10)+10^(W29/10)))</f>
        <v>18.921011177485617</v>
      </c>
      <c r="X30" s="132">
        <f>IF(ISERROR(10*LOG10(10^(X27/10)+10^(X28/10)+10^(X29/10))),"",10*LOG10(10^(X27/10)+10^(X28/10)+10^(X29/10)))</f>
        <v>11.021244652015465</v>
      </c>
      <c r="Y30" s="132">
        <f>IF(ISERROR(10*LOG10(10^(W30/10)+10^(X30/10))),"",10*LOG10(10^(W30/10)+10^(X30/10)))</f>
        <v>19.573781506381508</v>
      </c>
      <c r="Z30" s="137"/>
      <c r="AA30" s="136"/>
      <c r="AB30" s="136"/>
      <c r="AC30" s="136"/>
    </row>
    <row r="31" spans="7:29" x14ac:dyDescent="0.2">
      <c r="G31" s="5"/>
      <c r="H31" s="6"/>
      <c r="I31" s="6"/>
      <c r="J31" s="6"/>
      <c r="K31" s="6"/>
      <c r="L31" s="6"/>
      <c r="M31" s="6"/>
      <c r="N31" s="6"/>
      <c r="O31" s="7"/>
      <c r="U31" s="132"/>
      <c r="V31" s="132"/>
      <c r="W31" s="132"/>
      <c r="X31" s="132"/>
      <c r="Y31" s="132"/>
      <c r="Z31" s="137"/>
      <c r="AA31" s="136"/>
      <c r="AB31" s="136"/>
      <c r="AC31" s="136"/>
    </row>
    <row r="32" spans="7:29" ht="12.75" customHeight="1" thickBot="1" x14ac:dyDescent="0.25">
      <c r="G32" s="5"/>
      <c r="H32" s="6"/>
      <c r="I32" s="6"/>
      <c r="J32" s="6"/>
      <c r="K32" s="6"/>
      <c r="L32" s="6"/>
      <c r="M32" s="6"/>
      <c r="N32" s="6"/>
      <c r="O32" s="7"/>
      <c r="U32" s="132"/>
      <c r="V32" s="132"/>
      <c r="W32" s="132"/>
      <c r="X32" s="132"/>
      <c r="Y32" s="132"/>
      <c r="Z32" s="137"/>
      <c r="AA32" s="136"/>
      <c r="AB32" s="136"/>
      <c r="AC32" s="136"/>
    </row>
    <row r="33" spans="2:29" ht="24.75" customHeight="1" thickBot="1" x14ac:dyDescent="0.25">
      <c r="G33" s="5"/>
      <c r="H33" s="12"/>
      <c r="I33" s="114">
        <v>79</v>
      </c>
      <c r="J33" s="13" t="s">
        <v>27</v>
      </c>
      <c r="K33" s="112">
        <v>377</v>
      </c>
      <c r="L33" s="110" t="s">
        <v>27</v>
      </c>
      <c r="M33" s="113"/>
      <c r="N33" s="124">
        <v>85</v>
      </c>
      <c r="O33" s="108" t="s">
        <v>27</v>
      </c>
      <c r="U33" s="132"/>
      <c r="V33" s="132" t="s">
        <v>13</v>
      </c>
      <c r="W33" s="132">
        <f>IF(ISERROR(10*LOG10(X33*(10^(Y25/10))+(1-X33)*(10^(Y30/10)))),"",10*LOG10(X33*(10^(Y25/10))+(1-X33)*(10^(Y30/10))))</f>
        <v>21.498363048340927</v>
      </c>
      <c r="X33" s="132">
        <f>IF(R8=1,0.1,IF(R8=2,0.07,IF(R8=3,0.05,0.04)))</f>
        <v>0.04</v>
      </c>
      <c r="Y33" s="132"/>
      <c r="Z33" s="137"/>
      <c r="AA33" s="136"/>
      <c r="AB33" s="136"/>
      <c r="AC33" s="136"/>
    </row>
    <row r="34" spans="2:29" ht="14.1" customHeight="1" x14ac:dyDescent="0.2">
      <c r="G34" s="14"/>
      <c r="H34" s="15"/>
      <c r="I34" s="15"/>
      <c r="J34" s="15"/>
      <c r="K34" s="15"/>
      <c r="L34" s="15"/>
      <c r="M34" s="15"/>
      <c r="N34" s="15"/>
      <c r="O34" s="16"/>
      <c r="U34" s="132"/>
      <c r="V34" s="132"/>
      <c r="W34" s="132"/>
      <c r="X34" s="132"/>
      <c r="Y34" s="132"/>
      <c r="Z34" s="137"/>
      <c r="AA34" s="136"/>
      <c r="AB34" s="136"/>
      <c r="AC34" s="136"/>
    </row>
    <row r="35" spans="2:29" ht="12.75" customHeight="1" x14ac:dyDescent="0.2">
      <c r="U35" s="132"/>
      <c r="V35" s="132"/>
      <c r="W35" s="132"/>
      <c r="X35" s="132"/>
      <c r="Y35" s="132"/>
      <c r="Z35" s="137"/>
      <c r="AA35" s="136"/>
      <c r="AB35" s="136"/>
      <c r="AC35" s="136"/>
    </row>
    <row r="36" spans="2:29" ht="11.1" customHeight="1" x14ac:dyDescent="0.2">
      <c r="U36" s="132"/>
      <c r="V36" s="132"/>
      <c r="W36" s="132"/>
      <c r="X36" s="132"/>
      <c r="Y36" s="132"/>
      <c r="Z36" s="137"/>
      <c r="AA36" s="136"/>
      <c r="AB36" s="136"/>
      <c r="AC36" s="136"/>
    </row>
    <row r="37" spans="2:29" ht="21.75" customHeight="1" x14ac:dyDescent="0.25">
      <c r="B37" s="103" t="s">
        <v>77</v>
      </c>
      <c r="C37" s="122">
        <v>16</v>
      </c>
      <c r="D37" s="4" t="s">
        <v>45</v>
      </c>
      <c r="G37" s="1"/>
      <c r="H37" s="27" t="s">
        <v>84</v>
      </c>
      <c r="I37" s="2"/>
      <c r="J37" s="2"/>
      <c r="K37" s="2"/>
      <c r="L37" s="4"/>
      <c r="U37" s="132"/>
      <c r="V37" s="132"/>
      <c r="W37" s="132"/>
      <c r="X37" s="132"/>
      <c r="Y37" s="132"/>
      <c r="Z37" s="137"/>
      <c r="AA37" s="136"/>
      <c r="AB37" s="136"/>
      <c r="AC37" s="136"/>
    </row>
    <row r="38" spans="2:29" ht="24" customHeight="1" x14ac:dyDescent="0.25">
      <c r="B38" s="32" t="s">
        <v>46</v>
      </c>
      <c r="C38" s="123">
        <v>85</v>
      </c>
      <c r="D38" s="7" t="s">
        <v>47</v>
      </c>
      <c r="G38" s="5"/>
      <c r="H38" s="25" t="s">
        <v>53</v>
      </c>
      <c r="I38" s="25" t="s">
        <v>54</v>
      </c>
      <c r="J38" s="25" t="s">
        <v>55</v>
      </c>
      <c r="K38" s="34" t="s">
        <v>48</v>
      </c>
      <c r="L38" s="7"/>
      <c r="U38" s="132"/>
      <c r="V38" s="132"/>
      <c r="W38" s="132"/>
      <c r="X38" s="132"/>
      <c r="Y38" s="132"/>
      <c r="Z38" s="137"/>
      <c r="AA38" s="136"/>
      <c r="AB38" s="136"/>
      <c r="AC38" s="136"/>
    </row>
    <row r="39" spans="2:29" ht="26.1" customHeight="1" x14ac:dyDescent="0.25">
      <c r="B39" s="33" t="s">
        <v>49</v>
      </c>
      <c r="C39" s="123">
        <v>0</v>
      </c>
      <c r="D39" s="7" t="s">
        <v>70</v>
      </c>
      <c r="G39" s="5"/>
      <c r="H39" s="26">
        <v>43.6</v>
      </c>
      <c r="I39" s="26">
        <v>40.799999999999997</v>
      </c>
      <c r="J39" s="26">
        <v>39.200000000000003</v>
      </c>
      <c r="K39" s="129">
        <v>46.5</v>
      </c>
      <c r="L39" s="28" t="s">
        <v>22</v>
      </c>
      <c r="U39" s="132"/>
      <c r="V39" s="139">
        <f>IF(ISERROR(10*LOG(1/24*(13*(10^(H39/10))+3*(10^((I39+5)/10))+8*(10^((J39+10)/10))))),"-",10*LOG(1/24*(13*(10^(H39/10))+3*(10^((I39+5)/10))+8*(10^((J39+10)/10)))))</f>
        <v>46.521176096475365</v>
      </c>
      <c r="W39" s="132"/>
      <c r="X39" s="132"/>
      <c r="Y39" s="132"/>
      <c r="Z39" s="137"/>
      <c r="AA39" s="136"/>
      <c r="AB39" s="136"/>
      <c r="AC39" s="136"/>
    </row>
    <row r="40" spans="2:29" ht="17.100000000000001" customHeight="1" x14ac:dyDescent="0.2">
      <c r="C40" s="133">
        <f>(C39*3600)/1000</f>
        <v>0</v>
      </c>
      <c r="D40" s="16" t="s">
        <v>83</v>
      </c>
      <c r="G40" s="14"/>
      <c r="H40" s="15"/>
      <c r="I40" s="15"/>
      <c r="J40" s="15"/>
      <c r="K40" s="15"/>
      <c r="L40" s="16"/>
      <c r="U40" s="132"/>
      <c r="V40" s="132"/>
      <c r="W40" s="132"/>
      <c r="X40" s="132"/>
      <c r="Y40" s="132"/>
      <c r="Z40" s="136"/>
      <c r="AA40" s="136"/>
      <c r="AB40" s="136"/>
      <c r="AC40" s="136"/>
    </row>
    <row r="41" spans="2:29" ht="6.75" customHeight="1" x14ac:dyDescent="0.2">
      <c r="U41" s="132"/>
      <c r="V41" s="132"/>
      <c r="W41" s="132"/>
      <c r="X41" s="132"/>
      <c r="Y41" s="132"/>
      <c r="Z41" s="136"/>
      <c r="AA41" s="136"/>
      <c r="AB41" s="136"/>
      <c r="AC41" s="136"/>
    </row>
    <row r="42" spans="2:29" ht="6.75" customHeight="1" x14ac:dyDescent="0.2">
      <c r="U42" s="132"/>
      <c r="V42" s="132"/>
      <c r="W42" s="132"/>
      <c r="X42" s="132"/>
      <c r="Y42" s="132"/>
      <c r="Z42" s="136"/>
      <c r="AA42" s="136"/>
      <c r="AB42" s="136"/>
      <c r="AC42" s="136"/>
    </row>
    <row r="43" spans="2:29" ht="12" customHeight="1" x14ac:dyDescent="0.2">
      <c r="G43" s="35"/>
      <c r="H43" s="62"/>
      <c r="I43" s="62"/>
      <c r="J43" s="62"/>
      <c r="K43" s="62"/>
      <c r="L43" s="36"/>
      <c r="U43" s="132"/>
      <c r="V43" s="132"/>
      <c r="W43" s="132"/>
      <c r="X43" s="132"/>
      <c r="Y43" s="132"/>
      <c r="Z43" s="136"/>
      <c r="AA43" s="136"/>
      <c r="AB43" s="136"/>
      <c r="AC43" s="136"/>
    </row>
    <row r="44" spans="2:29" ht="18" customHeight="1" x14ac:dyDescent="0.2">
      <c r="G44" s="37"/>
      <c r="H44" s="63" t="s">
        <v>23</v>
      </c>
      <c r="I44" s="64"/>
      <c r="J44" s="64"/>
      <c r="K44" s="65"/>
      <c r="L44" s="40"/>
      <c r="U44" s="132"/>
      <c r="V44" s="132"/>
      <c r="W44" s="132"/>
      <c r="X44" s="132"/>
      <c r="Y44" s="132"/>
      <c r="Z44" s="136"/>
      <c r="AA44" s="136"/>
      <c r="AB44" s="136"/>
      <c r="AC44" s="136"/>
    </row>
    <row r="45" spans="2:29" ht="21.95" customHeight="1" x14ac:dyDescent="0.2">
      <c r="G45" s="37"/>
      <c r="H45" s="38" t="s">
        <v>53</v>
      </c>
      <c r="I45" s="38" t="s">
        <v>54</v>
      </c>
      <c r="J45" s="38" t="s">
        <v>55</v>
      </c>
      <c r="K45" s="39" t="s">
        <v>48</v>
      </c>
      <c r="L45" s="40"/>
      <c r="U45" s="132"/>
      <c r="V45" s="132"/>
      <c r="W45" s="132"/>
      <c r="X45" s="132"/>
      <c r="Y45" s="132"/>
      <c r="Z45" s="136"/>
      <c r="AA45" s="136"/>
      <c r="AB45" s="136"/>
      <c r="AC45" s="136"/>
    </row>
    <row r="46" spans="2:29" ht="18.95" customHeight="1" x14ac:dyDescent="0.2">
      <c r="G46" s="102" t="s">
        <v>75</v>
      </c>
      <c r="H46" s="41">
        <f>IF(($Y$25)="","-",IF($Y$25&lt;0,"-",$Y$25))</f>
        <v>31.317345231095054</v>
      </c>
      <c r="I46" s="41">
        <f>IF(($Y$25)="","-",IF($Y$25&lt;0,"-",$Y$25))</f>
        <v>31.317345231095054</v>
      </c>
      <c r="J46" s="41">
        <f>IF(($Y$25)="","-",IF($Y$25&lt;0,"-",$Y$25))</f>
        <v>31.317345231095054</v>
      </c>
      <c r="K46" s="126">
        <f>IF(ISERROR(10*LOG(1/24*(13*(10^(H46/10))+3*(10^((I46+5)/10))+8*(10^((J46+10)/10))))),"-",10*LOG(1/24*(13*(10^(H46/10))+3*(10^((I46+5)/10))+8*(10^((J46+10)/10)))))</f>
        <v>37.621913542898874</v>
      </c>
      <c r="L46" s="42" t="s">
        <v>22</v>
      </c>
      <c r="U46" s="132"/>
      <c r="V46" s="132"/>
      <c r="W46" s="132"/>
      <c r="X46" s="132"/>
      <c r="Y46" s="132"/>
      <c r="Z46" s="136"/>
      <c r="AA46" s="136"/>
      <c r="AB46" s="136"/>
      <c r="AC46" s="136"/>
    </row>
    <row r="47" spans="2:29" ht="6.95" customHeight="1" x14ac:dyDescent="0.2">
      <c r="G47" s="43"/>
      <c r="H47" s="44"/>
      <c r="I47" s="44"/>
      <c r="J47" s="44"/>
      <c r="K47" s="127"/>
      <c r="L47" s="40"/>
      <c r="U47" s="132"/>
      <c r="V47" s="132"/>
      <c r="W47" s="132"/>
      <c r="X47" s="132"/>
      <c r="Y47" s="132"/>
      <c r="Z47" s="136"/>
      <c r="AA47" s="136"/>
      <c r="AB47" s="136"/>
      <c r="AC47" s="136"/>
    </row>
    <row r="48" spans="2:29" ht="14.1" customHeight="1" x14ac:dyDescent="0.2">
      <c r="G48" s="102" t="s">
        <v>76</v>
      </c>
      <c r="H48" s="41">
        <f>IF(($Y$30)="","-",IF($Y$30&lt;0,"-",$Y$30))</f>
        <v>19.573781506381508</v>
      </c>
      <c r="I48" s="41">
        <f>IF(($Y$30)="","-",IF($Y$30&lt;0,"-",$Y$30))</f>
        <v>19.573781506381508</v>
      </c>
      <c r="J48" s="41">
        <f>IF(($Y$30)="","-",IF($Y$30&lt;0,"-",$Y$30))</f>
        <v>19.573781506381508</v>
      </c>
      <c r="K48" s="126">
        <f>IF(ISERROR(10*LOG(1/24*(13*(10^(H48/10))+3*(10^((I48+5)/10))+8*(10^((J48+10)/10))))),"-",10*LOG(1/24*(13*(10^(H48/10))+3*(10^((I48+5)/10))+8*(10^((J48+10)/10)))))</f>
        <v>25.87834981818532</v>
      </c>
      <c r="L48" s="42" t="s">
        <v>22</v>
      </c>
      <c r="U48" s="132"/>
      <c r="V48" s="132"/>
      <c r="W48" s="132"/>
      <c r="X48" s="132"/>
      <c r="Y48" s="132"/>
      <c r="Z48" s="136"/>
      <c r="AA48" s="136"/>
      <c r="AB48" s="136"/>
      <c r="AC48" s="136"/>
    </row>
    <row r="49" spans="7:29" ht="12" customHeight="1" x14ac:dyDescent="0.2">
      <c r="G49" s="37"/>
      <c r="H49" s="44"/>
      <c r="I49" s="44"/>
      <c r="J49" s="44"/>
      <c r="K49" s="127"/>
      <c r="L49" s="40"/>
      <c r="U49" s="132"/>
      <c r="V49" s="132"/>
      <c r="W49" s="132"/>
      <c r="X49" s="132"/>
      <c r="Y49" s="132"/>
      <c r="Z49" s="136"/>
      <c r="AA49" s="136"/>
      <c r="AB49" s="136"/>
      <c r="AC49" s="136"/>
    </row>
    <row r="50" spans="7:29" ht="21.75" customHeight="1" x14ac:dyDescent="0.2">
      <c r="G50" s="66" t="s">
        <v>52</v>
      </c>
      <c r="H50" s="70">
        <f>IF(($W$33)="","-",IF($W$33&lt;0,"-",$W$33))</f>
        <v>21.498363048340927</v>
      </c>
      <c r="I50" s="70">
        <f>IF(($W$33)="","-",IF($W$33&lt;0,"-",$W$33))</f>
        <v>21.498363048340927</v>
      </c>
      <c r="J50" s="70">
        <f>IF(($W$33)="","-",IF($W$33&lt;0,"-",$W$33))</f>
        <v>21.498363048340927</v>
      </c>
      <c r="K50" s="128">
        <f>IF(ISERROR(10*LOG(1/24*(13*(10^(H50/10))+3*(10^((I50+5)/10))+8*(10^((J50+10)/10))))),"-",10*LOG(1/24*(13*(10^(H50/10))+3*(10^((I50+5)/10))+8*(10^((J50+10)/10)))))</f>
        <v>27.802931360144743</v>
      </c>
      <c r="L50" s="42" t="s">
        <v>22</v>
      </c>
      <c r="U50" s="132"/>
      <c r="V50" s="132"/>
      <c r="W50" s="132"/>
      <c r="X50" s="132"/>
      <c r="Y50" s="132"/>
      <c r="Z50" s="136"/>
      <c r="AA50" s="136"/>
      <c r="AB50" s="136"/>
      <c r="AC50" s="136"/>
    </row>
    <row r="51" spans="7:29" x14ac:dyDescent="0.2">
      <c r="G51" s="67"/>
      <c r="H51" s="68"/>
      <c r="I51" s="68"/>
      <c r="J51" s="68"/>
      <c r="K51" s="68"/>
      <c r="L51" s="69"/>
      <c r="U51" s="132"/>
      <c r="V51" s="132"/>
      <c r="W51" s="132"/>
      <c r="X51" s="132"/>
      <c r="Y51" s="132"/>
      <c r="Z51" s="136"/>
      <c r="AA51" s="136"/>
      <c r="AB51" s="136"/>
      <c r="AC51" s="136"/>
    </row>
    <row r="52" spans="7:29" ht="6.75" customHeight="1" x14ac:dyDescent="0.2">
      <c r="U52" s="132"/>
      <c r="V52" s="132"/>
      <c r="W52" s="132"/>
      <c r="X52" s="132"/>
      <c r="Y52" s="132"/>
      <c r="Z52" s="136"/>
      <c r="AA52" s="136"/>
      <c r="AB52" s="136"/>
      <c r="AC52" s="136"/>
    </row>
    <row r="53" spans="7:29" ht="6.75" customHeight="1" x14ac:dyDescent="0.2">
      <c r="U53" s="132"/>
      <c r="V53" s="132"/>
      <c r="W53" s="132"/>
      <c r="X53" s="132"/>
      <c r="Y53" s="132"/>
      <c r="Z53" s="136"/>
      <c r="AA53" s="136"/>
      <c r="AB53" s="136"/>
      <c r="AC53" s="136"/>
    </row>
    <row r="54" spans="7:29" ht="15.75" customHeight="1" x14ac:dyDescent="0.2">
      <c r="G54" s="45"/>
      <c r="H54" s="46"/>
      <c r="I54" s="46"/>
      <c r="J54" s="46"/>
      <c r="K54" s="46"/>
      <c r="L54" s="47"/>
      <c r="U54" s="132"/>
      <c r="V54" s="132"/>
      <c r="W54" s="132"/>
      <c r="X54" s="132"/>
      <c r="Y54" s="132"/>
      <c r="Z54" s="136"/>
      <c r="AA54" s="136"/>
      <c r="AB54" s="136"/>
      <c r="AC54" s="136"/>
    </row>
    <row r="55" spans="7:29" ht="14.1" customHeight="1" x14ac:dyDescent="0.25">
      <c r="G55" s="48"/>
      <c r="H55" s="49" t="s">
        <v>50</v>
      </c>
      <c r="I55" s="50"/>
      <c r="J55" s="50"/>
      <c r="K55" s="51"/>
      <c r="L55" s="52"/>
      <c r="U55" s="132"/>
      <c r="V55" s="132"/>
      <c r="W55" s="132"/>
      <c r="X55" s="132"/>
      <c r="Y55" s="132"/>
      <c r="Z55" s="136"/>
      <c r="AA55" s="136"/>
      <c r="AB55" s="136"/>
      <c r="AC55" s="136"/>
    </row>
    <row r="56" spans="7:29" ht="18.75" customHeight="1" x14ac:dyDescent="0.2">
      <c r="G56" s="48"/>
      <c r="H56" s="53" t="s">
        <v>53</v>
      </c>
      <c r="I56" s="53" t="s">
        <v>54</v>
      </c>
      <c r="J56" s="53" t="s">
        <v>55</v>
      </c>
      <c r="K56" s="54" t="s">
        <v>48</v>
      </c>
      <c r="L56" s="52"/>
      <c r="U56" s="132"/>
      <c r="V56" s="132"/>
      <c r="W56" s="132"/>
      <c r="X56" s="132"/>
      <c r="Y56" s="132"/>
      <c r="Z56" s="136"/>
      <c r="AA56" s="136"/>
      <c r="AB56" s="136"/>
      <c r="AC56" s="136"/>
    </row>
    <row r="57" spans="7:29" ht="29.1" customHeight="1" x14ac:dyDescent="0.2">
      <c r="G57" s="48"/>
      <c r="H57" s="115">
        <f>ROUND(IF(ISERROR(10*LOG10(10^($H$50/10)+10^(H39/10))),H39,10*LOG10(10^($H$50/10)+10^(H39/10))),1)</f>
        <v>43.6</v>
      </c>
      <c r="I57" s="115">
        <f>ROUND(IF(ISERROR(10*LOG10(10^($H$50/10)+10^(I39/10))),I39,10*LOG10(10^($H$50/10)+10^(I39/10))),1)</f>
        <v>40.9</v>
      </c>
      <c r="J57" s="115">
        <f>ROUND(IF(ISERROR(10*LOG10(10^($H$50/10)+10^(J39/10))),J39,10*LOG10(10^($H$50/10)+10^(J39/10))),1)</f>
        <v>39.299999999999997</v>
      </c>
      <c r="K57" s="138">
        <f>IF(V57&lt;7,0,V57)</f>
        <v>46.593760724519662</v>
      </c>
      <c r="L57" s="55" t="s">
        <v>22</v>
      </c>
      <c r="U57" s="132"/>
      <c r="V57" s="140">
        <f>IF(ISERROR(10*LOG(1/24*(13*(10^(H57/10))+3*(10^((I57+5)/10))+8*(10^((J57+10)/10))))),"-",10*LOG(1/24*(13*(10^(H57/10))+3*(10^((I57+5)/10))+8*(10^((J57+10)/10)))))</f>
        <v>46.593760724519662</v>
      </c>
      <c r="W57" s="132"/>
      <c r="X57" s="132"/>
      <c r="Y57" s="132"/>
      <c r="Z57" s="136"/>
      <c r="AA57" s="136"/>
      <c r="AB57" s="136"/>
      <c r="AC57" s="136"/>
    </row>
    <row r="58" spans="7:29" ht="11.1" customHeight="1" x14ac:dyDescent="0.2">
      <c r="G58" s="48"/>
      <c r="H58" s="56"/>
      <c r="I58" s="56"/>
      <c r="J58" s="56"/>
      <c r="K58" s="56"/>
      <c r="L58" s="52"/>
      <c r="U58" s="132"/>
      <c r="V58" s="132"/>
      <c r="W58" s="132"/>
      <c r="X58" s="132"/>
      <c r="Y58" s="132"/>
      <c r="Z58" s="136"/>
      <c r="AA58" s="136"/>
      <c r="AB58" s="136"/>
      <c r="AC58" s="136"/>
    </row>
    <row r="59" spans="7:29" ht="17.100000000000001" customHeight="1" x14ac:dyDescent="0.2">
      <c r="G59" s="57" t="s">
        <v>73</v>
      </c>
      <c r="H59" s="58" t="str">
        <f>IF(H57&lt;=45,"- ",H57-H39)</f>
        <v xml:space="preserve">- </v>
      </c>
      <c r="I59" s="58" t="str">
        <f>IF(I57&lt;=45,"- ",I57-I39)</f>
        <v xml:space="preserve">- </v>
      </c>
      <c r="J59" s="58" t="str">
        <f>IF(J57&lt;=45,"- ",J57-J39)</f>
        <v xml:space="preserve">- </v>
      </c>
      <c r="K59" s="56"/>
      <c r="L59" s="52"/>
      <c r="U59" s="132"/>
      <c r="V59" s="132"/>
      <c r="W59" s="132"/>
      <c r="X59" s="132"/>
      <c r="Y59" s="132"/>
      <c r="Z59" s="136"/>
      <c r="AA59" s="136"/>
      <c r="AB59" s="136"/>
      <c r="AC59" s="136"/>
    </row>
    <row r="60" spans="7:29" ht="14.1" customHeight="1" x14ac:dyDescent="0.2">
      <c r="G60" s="59"/>
      <c r="H60" s="60"/>
      <c r="I60" s="60"/>
      <c r="J60" s="60"/>
      <c r="K60" s="60"/>
      <c r="L60" s="61"/>
      <c r="U60" s="132"/>
      <c r="V60" s="132"/>
      <c r="W60" s="132"/>
      <c r="X60" s="132"/>
      <c r="Y60" s="132"/>
      <c r="Z60" s="136"/>
      <c r="AA60" s="136"/>
      <c r="AB60" s="136"/>
      <c r="AC60" s="136"/>
    </row>
    <row r="61" spans="7:29" x14ac:dyDescent="0.2"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7:29" x14ac:dyDescent="0.2"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7:29" x14ac:dyDescent="0.2">
      <c r="U63" s="136"/>
      <c r="V63" s="136"/>
      <c r="W63" s="136"/>
      <c r="X63" s="136"/>
      <c r="Y63" s="136"/>
      <c r="Z63" s="136"/>
      <c r="AA63" s="136"/>
      <c r="AB63" s="136"/>
      <c r="AC63" s="136"/>
    </row>
    <row r="82" spans="2:7" ht="15" x14ac:dyDescent="0.25">
      <c r="B82" s="29" t="s">
        <v>20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3 para CALB B</v>
      </c>
      <c r="D83" s="145"/>
      <c r="E83" s="145"/>
      <c r="F83" s="145"/>
      <c r="G83" s="149"/>
    </row>
    <row r="84" spans="2:7" ht="15" x14ac:dyDescent="0.25">
      <c r="B84" s="30" t="s">
        <v>5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21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16</v>
      </c>
      <c r="C86" s="150" t="str">
        <f>C9</f>
        <v>Ponto 3 (Apoio DLT)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99" spans="3:7" x14ac:dyDescent="0.2">
      <c r="C99" s="144" t="s">
        <v>78</v>
      </c>
      <c r="D99" s="144" t="s">
        <v>79</v>
      </c>
    </row>
    <row r="100" spans="3:7" x14ac:dyDescent="0.2">
      <c r="C100" s="144"/>
      <c r="D100" s="144"/>
    </row>
    <row r="101" spans="3:7" x14ac:dyDescent="0.2">
      <c r="C101" s="78">
        <f>H13</f>
        <v>0</v>
      </c>
      <c r="D101" s="79">
        <f>I13</f>
        <v>0</v>
      </c>
      <c r="F101" s="100">
        <f>I33</f>
        <v>79</v>
      </c>
      <c r="G101" t="s">
        <v>27</v>
      </c>
    </row>
    <row r="102" spans="3:7" x14ac:dyDescent="0.2">
      <c r="C102" s="80">
        <f>H15</f>
        <v>-7.8</v>
      </c>
      <c r="D102" s="81">
        <f>I15</f>
        <v>7.8</v>
      </c>
    </row>
    <row r="103" spans="3:7" x14ac:dyDescent="0.2">
      <c r="C103" s="82">
        <f>H17</f>
        <v>-7.8</v>
      </c>
      <c r="D103" s="83">
        <f>I17</f>
        <v>0</v>
      </c>
    </row>
    <row r="104" spans="3:7" x14ac:dyDescent="0.2">
      <c r="C104" s="144"/>
      <c r="D104" s="144"/>
    </row>
    <row r="105" spans="3:7" x14ac:dyDescent="0.2">
      <c r="C105" s="78">
        <f>H21</f>
        <v>0</v>
      </c>
      <c r="D105" s="79">
        <f>I21</f>
        <v>0</v>
      </c>
    </row>
    <row r="106" spans="3:7" x14ac:dyDescent="0.2">
      <c r="C106" s="80">
        <f>H23</f>
        <v>22.25</v>
      </c>
      <c r="D106" s="81">
        <f>I23</f>
        <v>22.25</v>
      </c>
      <c r="G106" s="99">
        <f>N29</f>
        <v>1.5</v>
      </c>
    </row>
    <row r="107" spans="3:7" x14ac:dyDescent="0.2">
      <c r="C107" s="82">
        <f>H25</f>
        <v>14</v>
      </c>
      <c r="D107" s="83">
        <f>I25</f>
        <v>0</v>
      </c>
      <c r="G107" s="144"/>
    </row>
    <row r="108" spans="3:7" x14ac:dyDescent="0.2">
      <c r="C108" s="144"/>
      <c r="D108" s="144"/>
      <c r="G108" s="155">
        <f>K33</f>
        <v>377</v>
      </c>
    </row>
    <row r="109" spans="3:7" x14ac:dyDescent="0.2">
      <c r="C109" s="84">
        <f>H29</f>
        <v>3.18</v>
      </c>
      <c r="D109" s="144"/>
      <c r="G109" s="156"/>
    </row>
    <row r="110" spans="3:7" x14ac:dyDescent="0.2">
      <c r="C110" s="144"/>
      <c r="D110" s="144"/>
    </row>
    <row r="112" spans="3:7" x14ac:dyDescent="0.2">
      <c r="C112" s="85">
        <f>L13</f>
        <v>0</v>
      </c>
      <c r="D112" s="86">
        <f>M13</f>
        <v>0</v>
      </c>
      <c r="G112" s="157" t="str">
        <f>IF(R8=1,"Minho",IF(R8=2,"Trás-os-Montes",IF(R8=3,"centro","sul")))</f>
        <v>sul</v>
      </c>
    </row>
    <row r="113" spans="1:7" x14ac:dyDescent="0.2">
      <c r="C113" s="87">
        <f>L15</f>
        <v>16.04</v>
      </c>
      <c r="D113" s="88">
        <f>M15</f>
        <v>14.64</v>
      </c>
      <c r="G113" s="157"/>
    </row>
    <row r="114" spans="1:7" x14ac:dyDescent="0.2">
      <c r="C114" s="89">
        <f>L17</f>
        <v>16.010000000000002</v>
      </c>
      <c r="D114" s="90">
        <f>M17</f>
        <v>0</v>
      </c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53</v>
      </c>
      <c r="D117" s="134" t="s">
        <v>54</v>
      </c>
      <c r="E117" s="134" t="s">
        <v>55</v>
      </c>
      <c r="F117" s="134" t="s">
        <v>48</v>
      </c>
    </row>
    <row r="118" spans="1:7" x14ac:dyDescent="0.2">
      <c r="C118" s="92">
        <f>H39</f>
        <v>43.6</v>
      </c>
      <c r="D118" s="93">
        <f>I39</f>
        <v>40.799999999999997</v>
      </c>
      <c r="E118" s="93">
        <f>J39</f>
        <v>39.200000000000003</v>
      </c>
      <c r="F118" s="106">
        <f>K39</f>
        <v>46.5</v>
      </c>
      <c r="G118" t="s">
        <v>22</v>
      </c>
    </row>
    <row r="119" spans="1:7" ht="14.1" customHeight="1" x14ac:dyDescent="0.2"/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53</v>
      </c>
      <c r="D125" s="134" t="s">
        <v>54</v>
      </c>
      <c r="E125" s="134" t="s">
        <v>55</v>
      </c>
      <c r="F125" s="134" t="s">
        <v>48</v>
      </c>
    </row>
    <row r="127" spans="1:7" x14ac:dyDescent="0.2">
      <c r="B127" s="97" t="s">
        <v>71</v>
      </c>
      <c r="C127" s="98">
        <f>H46</f>
        <v>31.317345231095054</v>
      </c>
      <c r="D127" s="98">
        <f>I46</f>
        <v>31.317345231095054</v>
      </c>
      <c r="E127" s="98">
        <f>J46</f>
        <v>31.317345231095054</v>
      </c>
      <c r="F127" s="98">
        <f>K46</f>
        <v>37.621913542898874</v>
      </c>
      <c r="G127" s="94" t="s">
        <v>22</v>
      </c>
    </row>
    <row r="128" spans="1:7" x14ac:dyDescent="0.2">
      <c r="B128" s="96" t="s">
        <v>72</v>
      </c>
      <c r="C128" s="77">
        <f>H48</f>
        <v>19.573781506381508</v>
      </c>
      <c r="D128" s="77">
        <f>I48</f>
        <v>19.573781506381508</v>
      </c>
      <c r="E128" s="77">
        <f>J48</f>
        <v>19.573781506381508</v>
      </c>
      <c r="F128" s="77">
        <f>K48</f>
        <v>25.87834981818532</v>
      </c>
      <c r="G128" s="94" t="s">
        <v>22</v>
      </c>
    </row>
    <row r="131" spans="3:7" x14ac:dyDescent="0.2">
      <c r="C131" s="104">
        <f>H50</f>
        <v>21.498363048340927</v>
      </c>
      <c r="D131" s="104">
        <f>I50</f>
        <v>21.498363048340927</v>
      </c>
      <c r="E131" s="104">
        <f>J50</f>
        <v>21.498363048340927</v>
      </c>
      <c r="F131" s="101">
        <f>K50</f>
        <v>27.802931360144743</v>
      </c>
      <c r="G131" s="105" t="s">
        <v>22</v>
      </c>
    </row>
    <row r="132" spans="3:7" x14ac:dyDescent="0.2">
      <c r="C132" s="144"/>
      <c r="D132" s="144"/>
      <c r="E132" s="144"/>
      <c r="F132" s="144"/>
    </row>
    <row r="137" spans="3:7" x14ac:dyDescent="0.2">
      <c r="C137" s="135" t="s">
        <v>53</v>
      </c>
      <c r="D137" s="135" t="s">
        <v>54</v>
      </c>
      <c r="E137" s="135" t="s">
        <v>55</v>
      </c>
      <c r="F137" s="135" t="s">
        <v>48</v>
      </c>
    </row>
    <row r="138" spans="3:7" ht="21" customHeight="1" x14ac:dyDescent="0.2">
      <c r="C138" s="95">
        <f>H57</f>
        <v>43.6</v>
      </c>
      <c r="D138" s="95">
        <f>I57</f>
        <v>40.9</v>
      </c>
      <c r="E138" s="95">
        <f>J57</f>
        <v>39.299999999999997</v>
      </c>
      <c r="F138" s="101">
        <f>K57</f>
        <v>46.593760724519662</v>
      </c>
      <c r="G138" s="105" t="s">
        <v>22</v>
      </c>
    </row>
  </sheetData>
  <mergeCells count="9">
    <mergeCell ref="C88:D88"/>
    <mergeCell ref="G108:G109"/>
    <mergeCell ref="G112:G113"/>
    <mergeCell ref="C4:E4"/>
    <mergeCell ref="C5:D5"/>
    <mergeCell ref="C6:E6"/>
    <mergeCell ref="C7:E7"/>
    <mergeCell ref="C8:E8"/>
    <mergeCell ref="C9:E9"/>
  </mergeCells>
  <pageMargins left="0.75" right="0.75" top="1" bottom="1" header="0.5" footer="0.5"/>
  <pageSetup paperSize="0" scale="96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3" name="Lista pendente 288">
              <controlPr defaultSize="0" autoLine="0" autoPict="0">
                <anchor moveWithCells="1">
                  <from>
                    <xdr:col>11</xdr:col>
                    <xdr:colOff>476250</xdr:colOff>
                    <xdr:row>21</xdr:row>
                    <xdr:rowOff>28575</xdr:rowOff>
                  </from>
                  <to>
                    <xdr:col>14</xdr:col>
                    <xdr:colOff>238125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8D1F6-17F4-47AD-8281-618CD9034ADC}">
  <sheetPr>
    <pageSetUpPr fitToPage="1"/>
  </sheetPr>
  <dimension ref="A2:AC138"/>
  <sheetViews>
    <sheetView showGridLines="0" topLeftCell="A105" zoomScale="85" zoomScaleNormal="85" workbookViewId="0">
      <selection activeCell="A82" sqref="A82:G138"/>
    </sheetView>
  </sheetViews>
  <sheetFormatPr defaultColWidth="11.42578125" defaultRowHeight="12.75" x14ac:dyDescent="0.2"/>
  <cols>
    <col min="1" max="1" width="8.7109375" customWidth="1" collapsed="1"/>
    <col min="2" max="2" width="12.85546875" customWidth="1" collapsed="1"/>
    <col min="3" max="6" width="11.42578125" customWidth="1" collapsed="1"/>
    <col min="7" max="8" width="11.28515625" customWidth="1" collapsed="1"/>
  </cols>
  <sheetData>
    <row r="2" spans="2:29" x14ac:dyDescent="0.2">
      <c r="U2" s="137"/>
      <c r="V2" s="137"/>
      <c r="W2" s="137"/>
      <c r="X2" s="137"/>
      <c r="Y2" s="137"/>
      <c r="Z2" s="137"/>
      <c r="AA2" s="136"/>
      <c r="AB2" s="136"/>
      <c r="AC2" s="136"/>
    </row>
    <row r="3" spans="2:29" x14ac:dyDescent="0.2">
      <c r="S3" s="21" t="s">
        <v>29</v>
      </c>
      <c r="U3" s="132"/>
      <c r="V3" s="132"/>
      <c r="W3" s="132">
        <v>-119.74</v>
      </c>
      <c r="X3" s="132">
        <v>-119.03</v>
      </c>
      <c r="Y3" s="132"/>
      <c r="Z3" s="137"/>
      <c r="AA3" s="136"/>
      <c r="AB3" s="136"/>
      <c r="AC3" s="136"/>
    </row>
    <row r="4" spans="2:29" ht="20.100000000000001" customHeight="1" x14ac:dyDescent="0.25">
      <c r="B4" s="29" t="s">
        <v>2</v>
      </c>
      <c r="C4" s="158" t="s">
        <v>85</v>
      </c>
      <c r="D4" s="159"/>
      <c r="E4" s="160"/>
      <c r="S4" s="21" t="s">
        <v>40</v>
      </c>
      <c r="U4" s="132"/>
      <c r="V4" s="132"/>
      <c r="W4" s="132">
        <v>-120.93</v>
      </c>
      <c r="X4" s="132">
        <v>-121.67</v>
      </c>
      <c r="Y4" s="132"/>
      <c r="Z4" s="137"/>
      <c r="AA4" s="136"/>
      <c r="AB4" s="136"/>
      <c r="AC4" s="136"/>
    </row>
    <row r="5" spans="2:29" ht="18.75" customHeight="1" x14ac:dyDescent="0.25">
      <c r="B5" s="30" t="s">
        <v>20</v>
      </c>
      <c r="C5" s="161" t="s">
        <v>85</v>
      </c>
      <c r="D5" s="161"/>
      <c r="E5" s="24"/>
      <c r="S5" s="21" t="s">
        <v>30</v>
      </c>
      <c r="U5" s="132"/>
      <c r="V5" s="132"/>
      <c r="W5" s="132" t="s">
        <v>7</v>
      </c>
      <c r="X5" s="132"/>
      <c r="Y5" s="132"/>
      <c r="Z5" s="137"/>
      <c r="AA5" s="136"/>
      <c r="AB5" s="136"/>
      <c r="AC5" s="136"/>
    </row>
    <row r="6" spans="2:29" ht="20.100000000000001" customHeight="1" x14ac:dyDescent="0.25">
      <c r="B6" s="30" t="s">
        <v>17</v>
      </c>
      <c r="C6" s="162" t="s">
        <v>87</v>
      </c>
      <c r="D6" s="163"/>
      <c r="E6" s="164"/>
      <c r="S6" s="20" t="s">
        <v>69</v>
      </c>
      <c r="U6" s="132"/>
      <c r="V6" s="132"/>
      <c r="W6" s="132">
        <f>IF(ISERROR($W$4+120*LOG(L13)+55*LOG(H29)),0,$W$4+120*LOG(L13)+55*LOG(H29))</f>
        <v>0</v>
      </c>
      <c r="X6" s="132">
        <f>IF(ISERROR($W$4+120*LOG(M13)+55*LOG(H29)),0,$W$4+120*LOG(M13)+55*LOG(H29))</f>
        <v>0</v>
      </c>
      <c r="Y6" s="132"/>
      <c r="Z6" s="137"/>
      <c r="AA6" s="136"/>
      <c r="AB6" s="136"/>
      <c r="AC6" s="136"/>
    </row>
    <row r="7" spans="2:29" ht="18.75" customHeight="1" x14ac:dyDescent="0.25">
      <c r="B7" s="30" t="s">
        <v>5</v>
      </c>
      <c r="C7" s="162" t="s">
        <v>88</v>
      </c>
      <c r="D7" s="165"/>
      <c r="E7" s="166"/>
      <c r="U7" s="132"/>
      <c r="V7" s="132"/>
      <c r="W7" s="132">
        <f>IF(ISERROR($X$4+120*LOG(L15)+55*LOG(H29)),0,$X$4+120*LOG(L15)+55*LOG(H29))</f>
        <v>50.588015272921155</v>
      </c>
      <c r="X7" s="132">
        <f>IF(ISERROR($X$4+120*LOG(M15)+55*LOG(H29)),0,$X$4+120*LOG(M15)+55*LOG(H29))</f>
        <v>45.828420805828557</v>
      </c>
      <c r="Y7" s="132"/>
      <c r="Z7" s="137"/>
      <c r="AA7" s="136"/>
      <c r="AB7" s="136"/>
      <c r="AC7" s="136"/>
    </row>
    <row r="8" spans="2:29" ht="15.75" customHeight="1" x14ac:dyDescent="0.25">
      <c r="B8" s="30" t="s">
        <v>21</v>
      </c>
      <c r="C8" s="162" t="s">
        <v>86</v>
      </c>
      <c r="D8" s="163"/>
      <c r="E8" s="166"/>
      <c r="R8" s="131">
        <v>4</v>
      </c>
      <c r="U8" s="132"/>
      <c r="V8" s="132"/>
      <c r="W8" s="132">
        <f>IF(ISERROR($W$4+120*LOG(L17)+55*LOG(H29)),0,$W$4+120*LOG(L17)+55*LOG(H29))</f>
        <v>51.230451429459762</v>
      </c>
      <c r="X8" s="132">
        <f>IF(ISERROR($W$4+120*LOG(M17)+55*LOG(H29)),0,$W$4+120*LOG(M17)+55*LOG(H29))</f>
        <v>0</v>
      </c>
      <c r="Y8" s="132"/>
      <c r="Z8" s="137"/>
      <c r="AA8" s="136"/>
      <c r="AB8" s="136"/>
      <c r="AC8" s="136"/>
    </row>
    <row r="9" spans="2:29" ht="17.100000000000001" customHeight="1" x14ac:dyDescent="0.25">
      <c r="B9" s="31" t="s">
        <v>16</v>
      </c>
      <c r="C9" s="167" t="s">
        <v>92</v>
      </c>
      <c r="D9" s="168"/>
      <c r="E9" s="169"/>
      <c r="U9" s="132"/>
      <c r="V9" s="132"/>
      <c r="W9" s="132"/>
      <c r="X9" s="132"/>
      <c r="Y9" s="132"/>
      <c r="Z9" s="137"/>
      <c r="AA9" s="136"/>
      <c r="AB9" s="136"/>
      <c r="AC9" s="136"/>
    </row>
    <row r="10" spans="2:29" ht="20.100000000000001" customHeight="1" x14ac:dyDescent="0.2">
      <c r="U10" s="132"/>
      <c r="V10" s="132"/>
      <c r="W10" s="132" t="s">
        <v>8</v>
      </c>
      <c r="X10" s="132"/>
      <c r="Y10" s="132"/>
      <c r="Z10" s="137"/>
      <c r="AA10" s="136"/>
      <c r="AB10" s="136"/>
      <c r="AC10" s="136"/>
    </row>
    <row r="11" spans="2:29" ht="11.1" customHeight="1" x14ac:dyDescent="0.2">
      <c r="G11" s="1"/>
      <c r="H11" s="2"/>
      <c r="I11" s="2"/>
      <c r="J11" s="2"/>
      <c r="K11" s="2"/>
      <c r="L11" s="2"/>
      <c r="M11" s="2"/>
      <c r="N11" s="2"/>
      <c r="O11" s="4"/>
      <c r="U11" s="132"/>
      <c r="V11" s="132"/>
      <c r="W11" s="132"/>
      <c r="X11" s="132"/>
      <c r="Y11" s="132"/>
      <c r="Z11" s="137"/>
      <c r="AA11" s="136"/>
      <c r="AB11" s="136"/>
      <c r="AC11" s="136"/>
    </row>
    <row r="12" spans="2:29" ht="26.1" customHeight="1" x14ac:dyDescent="0.2">
      <c r="G12" s="5"/>
      <c r="H12" s="72" t="s">
        <v>0</v>
      </c>
      <c r="I12" s="6"/>
      <c r="J12" s="6"/>
      <c r="K12" s="6"/>
      <c r="L12" s="72" t="s">
        <v>1</v>
      </c>
      <c r="M12" s="6"/>
      <c r="N12" s="6"/>
      <c r="O12" s="7"/>
      <c r="U12" s="132"/>
      <c r="V12" s="132"/>
      <c r="W12" s="132">
        <f>IF(ISERROR(-109.6+120*LOG10(L13)+55*LOG10(H29)),0,-109.6+120*LOG10(L13)+55*LOG10(H29))</f>
        <v>0</v>
      </c>
      <c r="X12" s="132">
        <f>IF(ISERROR(-109.6+120*LOG10(M13)+55*LOG10(H29)),0,-109.6+120*LOG10(M13)+55*LOG10(H29))</f>
        <v>0</v>
      </c>
      <c r="Y12" s="132"/>
      <c r="Z12" s="137"/>
      <c r="AA12" s="136"/>
      <c r="AB12" s="136"/>
      <c r="AC12" s="136"/>
    </row>
    <row r="13" spans="2:29" ht="24.75" customHeight="1" x14ac:dyDescent="0.2">
      <c r="G13" s="5"/>
      <c r="H13" s="141"/>
      <c r="I13" s="141"/>
      <c r="J13" s="6"/>
      <c r="K13" s="6"/>
      <c r="L13" s="114"/>
      <c r="M13" s="114"/>
      <c r="N13" s="6"/>
      <c r="O13" s="7"/>
      <c r="U13" s="132"/>
      <c r="V13" s="132"/>
      <c r="W13" s="132">
        <f>IF(ISERROR(-109.6+120*LOG10(L15)+55*LOG10(H29)),0,-109.6+120*LOG10(L15)+55*LOG10(H29))</f>
        <v>62.658015272921162</v>
      </c>
      <c r="X13" s="132">
        <f>IF(ISERROR(-109.6+120*LOG10(M15)+55*LOG10(H29)),0,-109.6+120*LOG10(M15)+55*LOG10(H29))</f>
        <v>57.898420805828565</v>
      </c>
      <c r="Y13" s="132"/>
      <c r="Z13" s="137"/>
      <c r="AA13" s="136"/>
      <c r="AB13" s="136"/>
      <c r="AC13" s="136"/>
    </row>
    <row r="14" spans="2:29" ht="17.100000000000001" customHeight="1" x14ac:dyDescent="0.2">
      <c r="G14" s="5"/>
      <c r="H14" s="73"/>
      <c r="I14" s="73"/>
      <c r="J14" s="6"/>
      <c r="K14" s="6"/>
      <c r="L14" s="74"/>
      <c r="M14" s="74"/>
      <c r="N14" s="6"/>
      <c r="O14" s="7"/>
      <c r="U14" s="132"/>
      <c r="V14" s="132"/>
      <c r="W14" s="132">
        <f>IF(ISERROR(-109.6+120*LOG10(L17)+55*LOG10(H29)),0,-109.6+120*LOG10(L17)+55*LOG10(H29))</f>
        <v>62.560451429459775</v>
      </c>
      <c r="X14" s="132">
        <f>IF(ISERROR(-109.6+120*LOG10(M17)+55*LOG10(H29)),0,-109.6+120*LOG10(M17)+55*LOG10(H29))</f>
        <v>0</v>
      </c>
      <c r="Y14" s="132"/>
      <c r="Z14" s="137"/>
      <c r="AA14" s="136"/>
      <c r="AB14" s="136"/>
      <c r="AC14" s="136"/>
    </row>
    <row r="15" spans="2:29" ht="24.75" customHeight="1" x14ac:dyDescent="0.2">
      <c r="G15" s="5"/>
      <c r="H15" s="141">
        <v>-7.8</v>
      </c>
      <c r="I15" s="141">
        <v>7.8</v>
      </c>
      <c r="J15" s="6"/>
      <c r="K15" s="6"/>
      <c r="L15" s="114">
        <v>16.04</v>
      </c>
      <c r="M15" s="114">
        <v>14.64</v>
      </c>
      <c r="N15" s="6"/>
      <c r="O15" s="7"/>
      <c r="U15" s="132"/>
      <c r="V15" s="132"/>
      <c r="W15" s="132"/>
      <c r="X15" s="132"/>
      <c r="Y15" s="132"/>
      <c r="Z15" s="137"/>
      <c r="AA15" s="136"/>
      <c r="AB15" s="136"/>
      <c r="AC15" s="136"/>
    </row>
    <row r="16" spans="2:29" ht="18" customHeight="1" x14ac:dyDescent="0.2">
      <c r="G16" s="5"/>
      <c r="H16" s="73"/>
      <c r="I16" s="73"/>
      <c r="J16" s="6"/>
      <c r="K16" s="6"/>
      <c r="L16" s="74"/>
      <c r="M16" s="74"/>
      <c r="N16" s="6"/>
      <c r="O16" s="7"/>
      <c r="U16" s="132"/>
      <c r="V16" s="132"/>
      <c r="W16" s="132" t="s">
        <v>9</v>
      </c>
      <c r="X16" s="132"/>
      <c r="Y16" s="132"/>
      <c r="Z16" s="137"/>
      <c r="AA16" s="136"/>
      <c r="AB16" s="136"/>
      <c r="AC16" s="136"/>
    </row>
    <row r="17" spans="7:29" ht="24.75" customHeight="1" x14ac:dyDescent="0.2">
      <c r="G17" s="5"/>
      <c r="H17" s="141">
        <v>-7.8</v>
      </c>
      <c r="I17" s="141"/>
      <c r="J17" s="6"/>
      <c r="K17" s="6"/>
      <c r="L17" s="114">
        <v>16.010000000000002</v>
      </c>
      <c r="M17" s="114"/>
      <c r="N17" s="6"/>
      <c r="O17" s="7"/>
      <c r="U17" s="132"/>
      <c r="V17" s="132"/>
      <c r="W17" s="132">
        <f>SQRT((H13-$K$33)^2+(($H$21+I33)-($N$29+N33))^2)</f>
        <v>231.12172117739172</v>
      </c>
      <c r="X17" s="132">
        <f>SQRT((I13-$K$33)^2+(($I$21+I33)-($N$29+N33))^2)</f>
        <v>231.12172117739172</v>
      </c>
      <c r="Y17" s="132"/>
      <c r="Z17" s="137"/>
      <c r="AA17" s="136"/>
      <c r="AB17" s="136"/>
      <c r="AC17" s="136"/>
    </row>
    <row r="18" spans="7:29" ht="12.75" customHeight="1" x14ac:dyDescent="0.2">
      <c r="G18" s="5"/>
      <c r="H18" s="6"/>
      <c r="I18" s="6"/>
      <c r="J18" s="6"/>
      <c r="K18" s="6"/>
      <c r="L18" s="6"/>
      <c r="M18" s="6"/>
      <c r="N18" s="6"/>
      <c r="O18" s="7"/>
      <c r="U18" s="132"/>
      <c r="V18" s="132"/>
      <c r="W18" s="132">
        <f>SQRT((H15-$K$33)^2+(($H$23+I33)-($N$29+N33))^2)</f>
        <v>240.64601077100781</v>
      </c>
      <c r="X18" s="132">
        <f>SQRT((I15-$K$33)^2+(($I$23+I33)-($N$29+N33))^2)</f>
        <v>225.17393832324379</v>
      </c>
      <c r="Y18" s="132"/>
      <c r="Z18" s="137"/>
      <c r="AA18" s="136"/>
      <c r="AB18" s="136"/>
      <c r="AC18" s="136"/>
    </row>
    <row r="19" spans="7:29" ht="12" customHeight="1" x14ac:dyDescent="0.2">
      <c r="G19" s="5"/>
      <c r="H19" s="6"/>
      <c r="I19" s="6"/>
      <c r="J19" s="6"/>
      <c r="K19" s="6"/>
      <c r="L19" s="6"/>
      <c r="M19" s="6"/>
      <c r="N19" s="6"/>
      <c r="O19" s="7"/>
      <c r="U19" s="132"/>
      <c r="V19" s="132"/>
      <c r="W19" s="132">
        <f>SQRT((H17-$K$33)^2+(($H$25+I33)-($N$29+N33))^2)</f>
        <v>239.76590666731582</v>
      </c>
      <c r="X19" s="132">
        <f>SQRT((I17-$K$33)^2+(($I$25+I33)-($N$29+N33))^2)</f>
        <v>231.12172117739172</v>
      </c>
      <c r="Y19" s="132"/>
      <c r="Z19" s="137"/>
      <c r="AA19" s="136"/>
      <c r="AB19" s="136"/>
      <c r="AC19" s="136"/>
    </row>
    <row r="20" spans="7:29" ht="20.100000000000001" customHeight="1" x14ac:dyDescent="0.2">
      <c r="G20" s="5"/>
      <c r="H20" s="72" t="s">
        <v>3</v>
      </c>
      <c r="I20" s="6"/>
      <c r="J20" s="6"/>
      <c r="K20" s="6"/>
      <c r="L20" s="10"/>
      <c r="M20" s="6"/>
      <c r="N20" s="6"/>
      <c r="O20" s="7"/>
      <c r="U20" s="132"/>
      <c r="V20" s="132"/>
      <c r="W20" s="132"/>
      <c r="X20" s="132"/>
      <c r="Y20" s="132"/>
      <c r="Z20" s="137"/>
      <c r="AA20" s="136"/>
      <c r="AB20" s="136"/>
      <c r="AC20" s="136"/>
    </row>
    <row r="21" spans="7:29" ht="24.75" customHeight="1" x14ac:dyDescent="0.2">
      <c r="G21" s="5"/>
      <c r="H21" s="141"/>
      <c r="I21" s="141"/>
      <c r="J21" s="6"/>
      <c r="K21" s="6"/>
      <c r="L21" s="10"/>
      <c r="M21" s="6"/>
      <c r="N21" s="6"/>
      <c r="O21" s="7"/>
      <c r="U21" s="132"/>
      <c r="V21" s="132"/>
      <c r="W21" s="132" t="s">
        <v>10</v>
      </c>
      <c r="X21" s="132"/>
      <c r="Y21" s="132"/>
      <c r="Z21" s="137"/>
      <c r="AA21" s="136"/>
      <c r="AB21" s="136"/>
      <c r="AC21" s="136"/>
    </row>
    <row r="22" spans="7:29" ht="14.25" x14ac:dyDescent="0.2">
      <c r="G22" s="5"/>
      <c r="H22" s="73"/>
      <c r="I22" s="73"/>
      <c r="J22" s="6"/>
      <c r="K22" s="6"/>
      <c r="L22" s="10"/>
      <c r="M22" s="6"/>
      <c r="N22" s="6"/>
      <c r="O22" s="7"/>
      <c r="U22" s="132"/>
      <c r="V22" s="132"/>
      <c r="W22" s="132">
        <f t="shared" ref="W22:X24" si="0">IF(ISERROR(W12-11.4*LOG10(W17)-5.8+($I$33/300)),"",W12-11.4*LOG10(W17)-5.8+($I$33/300))</f>
        <v>-32.47445136561192</v>
      </c>
      <c r="X22" s="132">
        <f t="shared" si="0"/>
        <v>-32.47445136561192</v>
      </c>
      <c r="Y22" s="132"/>
      <c r="Z22" s="137"/>
      <c r="AA22" s="136"/>
      <c r="AB22" s="136"/>
      <c r="AC22" s="136"/>
    </row>
    <row r="23" spans="7:29" ht="24.75" customHeight="1" x14ac:dyDescent="0.2">
      <c r="G23" s="5"/>
      <c r="H23" s="141">
        <v>22.25</v>
      </c>
      <c r="I23" s="141">
        <v>22.25</v>
      </c>
      <c r="J23" s="6"/>
      <c r="K23" s="6"/>
      <c r="L23" s="111"/>
      <c r="M23" s="6"/>
      <c r="N23" s="6"/>
      <c r="O23" s="7"/>
      <c r="U23" s="132"/>
      <c r="V23" s="132"/>
      <c r="W23" s="132">
        <f t="shared" si="0"/>
        <v>29.983631805861894</v>
      </c>
      <c r="X23" s="132">
        <f t="shared" si="0"/>
        <v>25.553047528325745</v>
      </c>
      <c r="Y23" s="132"/>
      <c r="Z23" s="137"/>
      <c r="AA23" s="136"/>
      <c r="AB23" s="136"/>
      <c r="AC23" s="136"/>
    </row>
    <row r="24" spans="7:29" ht="15" customHeight="1" x14ac:dyDescent="0.2">
      <c r="G24" s="5"/>
      <c r="H24" s="73"/>
      <c r="I24" s="73"/>
      <c r="J24" s="6"/>
      <c r="K24" s="6"/>
      <c r="L24" s="6"/>
      <c r="M24" s="6"/>
      <c r="N24" s="6"/>
      <c r="O24" s="7"/>
      <c r="U24" s="132"/>
      <c r="V24" s="132"/>
      <c r="W24" s="132">
        <f t="shared" si="0"/>
        <v>29.904208072467927</v>
      </c>
      <c r="X24" s="132">
        <f t="shared" si="0"/>
        <v>-32.47445136561192</v>
      </c>
      <c r="Y24" s="132"/>
      <c r="Z24" s="137"/>
      <c r="AA24" s="136"/>
      <c r="AB24" s="136"/>
      <c r="AC24" s="136"/>
    </row>
    <row r="25" spans="7:29" ht="24.75" customHeight="1" x14ac:dyDescent="0.2">
      <c r="G25" s="5"/>
      <c r="H25" s="141">
        <v>14</v>
      </c>
      <c r="I25" s="141"/>
      <c r="J25" s="6"/>
      <c r="K25" s="6"/>
      <c r="L25" s="6"/>
      <c r="M25" s="6"/>
      <c r="N25" s="6"/>
      <c r="O25" s="7"/>
      <c r="U25" s="132"/>
      <c r="V25" s="132" t="s">
        <v>12</v>
      </c>
      <c r="W25" s="132">
        <f>IF(ISERROR(10*LOG10(10^(W22/10)+10^(W23/10)+10^(W24/10))),"",10*LOG10(10^(W22/10)+10^(W23/10)+10^(W24/10)))</f>
        <v>32.954402700059525</v>
      </c>
      <c r="X25" s="132">
        <f>IF(ISERROR(10*LOG10(10^(X22/10)+10^(X23/10)+10^(X24/10))),"",10*LOG10(10^(X22/10)+10^(X23/10)+10^(X24/10)))</f>
        <v>25.553061207621322</v>
      </c>
      <c r="Y25" s="132">
        <f>IF(ISERROR(10*LOG10(10^(W25/10)+10^(X25/10))),"",10*LOG10(10^(W25/10)+10^(X25/10)))</f>
        <v>33.680261050219741</v>
      </c>
      <c r="Z25" s="137"/>
      <c r="AA25" s="136"/>
      <c r="AB25" s="136"/>
      <c r="AC25" s="136"/>
    </row>
    <row r="26" spans="7:29" x14ac:dyDescent="0.2">
      <c r="G26" s="5"/>
      <c r="H26" s="6"/>
      <c r="I26" s="6"/>
      <c r="J26" s="6"/>
      <c r="K26" s="6"/>
      <c r="L26" s="6"/>
      <c r="M26" s="6"/>
      <c r="N26" s="6"/>
      <c r="O26" s="7"/>
      <c r="U26" s="132"/>
      <c r="V26" s="132"/>
      <c r="W26" s="132" t="s">
        <v>11</v>
      </c>
      <c r="X26" s="132"/>
      <c r="Y26" s="132"/>
      <c r="Z26" s="137"/>
      <c r="AA26" s="136"/>
      <c r="AB26" s="136"/>
      <c r="AC26" s="136"/>
    </row>
    <row r="27" spans="7:29" ht="15.75" x14ac:dyDescent="0.25">
      <c r="G27" s="5"/>
      <c r="H27" s="6"/>
      <c r="I27" s="6"/>
      <c r="J27" s="6"/>
      <c r="K27" s="6"/>
      <c r="L27" s="6"/>
      <c r="M27" s="6"/>
      <c r="N27" s="11" t="s">
        <v>26</v>
      </c>
      <c r="O27" s="7"/>
      <c r="U27" s="132"/>
      <c r="V27" s="132"/>
      <c r="W27" s="132">
        <f t="shared" ref="W27:X29" si="1">IF(ISERROR(W6-11.4*LOG10(W17)-5.8+($I$33/300)),"",W6-11.4*LOG10(W17)-5.8+($I$33/300))</f>
        <v>-32.47445136561192</v>
      </c>
      <c r="X27" s="132">
        <f t="shared" si="1"/>
        <v>-32.47445136561192</v>
      </c>
      <c r="Y27" s="132"/>
      <c r="Z27" s="137"/>
      <c r="AA27" s="136"/>
      <c r="AB27" s="136"/>
      <c r="AC27" s="136"/>
    </row>
    <row r="28" spans="7:29" ht="15.75" customHeight="1" x14ac:dyDescent="0.2">
      <c r="G28" s="5"/>
      <c r="H28" s="72" t="s">
        <v>4</v>
      </c>
      <c r="I28" s="6"/>
      <c r="J28" s="6"/>
      <c r="K28" s="6"/>
      <c r="L28" s="6"/>
      <c r="M28" s="10"/>
      <c r="N28" s="6"/>
      <c r="O28" s="7"/>
      <c r="U28" s="132"/>
      <c r="V28" s="132"/>
      <c r="W28" s="132">
        <f t="shared" si="1"/>
        <v>17.913631805861886</v>
      </c>
      <c r="X28" s="132">
        <f t="shared" si="1"/>
        <v>13.483047528325738</v>
      </c>
      <c r="Y28" s="132"/>
      <c r="Z28" s="137"/>
      <c r="AA28" s="136"/>
      <c r="AB28" s="136"/>
      <c r="AC28" s="136"/>
    </row>
    <row r="29" spans="7:29" ht="24.75" customHeight="1" x14ac:dyDescent="0.2">
      <c r="G29" s="5"/>
      <c r="H29" s="141">
        <v>3.18</v>
      </c>
      <c r="I29" s="13" t="s">
        <v>6</v>
      </c>
      <c r="J29" s="6"/>
      <c r="K29" s="6"/>
      <c r="L29" s="6"/>
      <c r="M29" s="125" t="s">
        <v>66</v>
      </c>
      <c r="N29" s="71">
        <v>1.5</v>
      </c>
      <c r="O29" s="107" t="s">
        <v>27</v>
      </c>
      <c r="U29" s="132"/>
      <c r="V29" s="132"/>
      <c r="W29" s="132">
        <f t="shared" si="1"/>
        <v>18.574208072467911</v>
      </c>
      <c r="X29" s="132">
        <f t="shared" si="1"/>
        <v>-32.47445136561192</v>
      </c>
      <c r="Y29" s="132"/>
      <c r="Z29" s="137"/>
      <c r="AA29" s="136"/>
      <c r="AB29" s="136"/>
      <c r="AC29" s="136"/>
    </row>
    <row r="30" spans="7:29" x14ac:dyDescent="0.2">
      <c r="G30" s="5"/>
      <c r="H30" s="6"/>
      <c r="I30" s="6"/>
      <c r="J30" s="6"/>
      <c r="K30" s="6"/>
      <c r="L30" s="6"/>
      <c r="M30" s="6"/>
      <c r="N30" s="6"/>
      <c r="O30" s="7"/>
      <c r="U30" s="132"/>
      <c r="V30" s="132" t="s">
        <v>12</v>
      </c>
      <c r="W30" s="132">
        <f>IF(ISERROR(10*LOG10(10^(W27/10)+10^(W28/10)+10^(W29/10))),"",10*LOG10(10^(W27/10)+10^(W28/10)+10^(W29/10)))</f>
        <v>21.266785637776117</v>
      </c>
      <c r="X30" s="132">
        <f>IF(ISERROR(10*LOG10(10^(X27/10)+10^(X28/10)+10^(X29/10))),"",10*LOG10(10^(X27/10)+10^(X28/10)+10^(X29/10)))</f>
        <v>13.483267848061242</v>
      </c>
      <c r="Y30" s="132">
        <f>IF(ISERROR(10*LOG10(10^(W30/10)+10^(X30/10))),"",10*LOG10(10^(W30/10)+10^(X30/10)))</f>
        <v>21.935967121353116</v>
      </c>
      <c r="Z30" s="137"/>
      <c r="AA30" s="136"/>
      <c r="AB30" s="136"/>
      <c r="AC30" s="136"/>
    </row>
    <row r="31" spans="7:29" x14ac:dyDescent="0.2">
      <c r="G31" s="5"/>
      <c r="H31" s="6"/>
      <c r="I31" s="6"/>
      <c r="J31" s="6"/>
      <c r="K31" s="6"/>
      <c r="L31" s="6"/>
      <c r="M31" s="6"/>
      <c r="N31" s="6"/>
      <c r="O31" s="7"/>
      <c r="U31" s="132"/>
      <c r="V31" s="132"/>
      <c r="W31" s="132"/>
      <c r="X31" s="132"/>
      <c r="Y31" s="132"/>
      <c r="Z31" s="137"/>
      <c r="AA31" s="136"/>
      <c r="AB31" s="136"/>
      <c r="AC31" s="136"/>
    </row>
    <row r="32" spans="7:29" ht="12.75" customHeight="1" thickBot="1" x14ac:dyDescent="0.25">
      <c r="G32" s="5"/>
      <c r="H32" s="6"/>
      <c r="I32" s="6"/>
      <c r="J32" s="6"/>
      <c r="K32" s="6"/>
      <c r="L32" s="6"/>
      <c r="M32" s="6"/>
      <c r="N32" s="6"/>
      <c r="O32" s="7"/>
      <c r="U32" s="132"/>
      <c r="V32" s="132"/>
      <c r="W32" s="132"/>
      <c r="X32" s="132"/>
      <c r="Y32" s="132"/>
      <c r="Z32" s="137"/>
      <c r="AA32" s="136"/>
      <c r="AB32" s="136"/>
      <c r="AC32" s="136"/>
    </row>
    <row r="33" spans="2:29" ht="24.75" customHeight="1" thickBot="1" x14ac:dyDescent="0.25">
      <c r="G33" s="5"/>
      <c r="H33" s="12"/>
      <c r="I33" s="114">
        <v>82</v>
      </c>
      <c r="J33" s="13" t="s">
        <v>27</v>
      </c>
      <c r="K33" s="112">
        <v>231</v>
      </c>
      <c r="L33" s="110" t="s">
        <v>27</v>
      </c>
      <c r="M33" s="113"/>
      <c r="N33" s="124">
        <v>73</v>
      </c>
      <c r="O33" s="108" t="s">
        <v>27</v>
      </c>
      <c r="U33" s="132"/>
      <c r="V33" s="132" t="s">
        <v>13</v>
      </c>
      <c r="W33" s="132">
        <f>IF(ISERROR(10*LOG10(X33*(10^(Y25/10))+(1-X33)*(10^(Y30/10)))),"",10*LOG10(X33*(10^(Y25/10))+(1-X33)*(10^(Y30/10))))</f>
        <v>23.860828835493169</v>
      </c>
      <c r="X33" s="132">
        <f>IF(R8=1,0.1,IF(R8=2,0.07,IF(R8=3,0.05,0.04)))</f>
        <v>0.04</v>
      </c>
      <c r="Y33" s="132"/>
      <c r="Z33" s="137"/>
      <c r="AA33" s="136"/>
      <c r="AB33" s="136"/>
      <c r="AC33" s="136"/>
    </row>
    <row r="34" spans="2:29" ht="14.1" customHeight="1" x14ac:dyDescent="0.2">
      <c r="G34" s="14"/>
      <c r="H34" s="15"/>
      <c r="I34" s="15"/>
      <c r="J34" s="15"/>
      <c r="K34" s="15"/>
      <c r="L34" s="15"/>
      <c r="M34" s="15"/>
      <c r="N34" s="15"/>
      <c r="O34" s="16"/>
      <c r="U34" s="132"/>
      <c r="V34" s="132"/>
      <c r="W34" s="132"/>
      <c r="X34" s="132"/>
      <c r="Y34" s="132"/>
      <c r="Z34" s="137"/>
      <c r="AA34" s="136"/>
      <c r="AB34" s="136"/>
      <c r="AC34" s="136"/>
    </row>
    <row r="35" spans="2:29" ht="12.75" customHeight="1" x14ac:dyDescent="0.2">
      <c r="U35" s="132"/>
      <c r="V35" s="132"/>
      <c r="W35" s="132"/>
      <c r="X35" s="132"/>
      <c r="Y35" s="132"/>
      <c r="Z35" s="137"/>
      <c r="AA35" s="136"/>
      <c r="AB35" s="136"/>
      <c r="AC35" s="136"/>
    </row>
    <row r="36" spans="2:29" ht="11.1" customHeight="1" x14ac:dyDescent="0.2">
      <c r="U36" s="132"/>
      <c r="V36" s="132"/>
      <c r="W36" s="132"/>
      <c r="X36" s="132"/>
      <c r="Y36" s="132"/>
      <c r="Z36" s="137"/>
      <c r="AA36" s="136"/>
      <c r="AB36" s="136"/>
      <c r="AC36" s="136"/>
    </row>
    <row r="37" spans="2:29" ht="21.75" customHeight="1" x14ac:dyDescent="0.25">
      <c r="B37" s="103" t="s">
        <v>77</v>
      </c>
      <c r="C37" s="122">
        <v>16</v>
      </c>
      <c r="D37" s="4" t="s">
        <v>45</v>
      </c>
      <c r="G37" s="1"/>
      <c r="H37" s="27" t="s">
        <v>84</v>
      </c>
      <c r="I37" s="2"/>
      <c r="J37" s="2"/>
      <c r="K37" s="2"/>
      <c r="L37" s="4"/>
      <c r="U37" s="132"/>
      <c r="V37" s="132"/>
      <c r="W37" s="132"/>
      <c r="X37" s="132"/>
      <c r="Y37" s="132"/>
      <c r="Z37" s="137"/>
      <c r="AA37" s="136"/>
      <c r="AB37" s="136"/>
      <c r="AC37" s="136"/>
    </row>
    <row r="38" spans="2:29" ht="24" customHeight="1" x14ac:dyDescent="0.25">
      <c r="B38" s="32" t="s">
        <v>46</v>
      </c>
      <c r="C38" s="123">
        <v>85</v>
      </c>
      <c r="D38" s="7" t="s">
        <v>47</v>
      </c>
      <c r="G38" s="5"/>
      <c r="H38" s="25" t="s">
        <v>53</v>
      </c>
      <c r="I38" s="25" t="s">
        <v>54</v>
      </c>
      <c r="J38" s="25" t="s">
        <v>55</v>
      </c>
      <c r="K38" s="34" t="s">
        <v>48</v>
      </c>
      <c r="L38" s="7"/>
      <c r="U38" s="132"/>
      <c r="V38" s="132"/>
      <c r="W38" s="132"/>
      <c r="X38" s="132"/>
      <c r="Y38" s="132"/>
      <c r="Z38" s="137"/>
      <c r="AA38" s="136"/>
      <c r="AB38" s="136"/>
      <c r="AC38" s="136"/>
    </row>
    <row r="39" spans="2:29" ht="26.1" customHeight="1" x14ac:dyDescent="0.25">
      <c r="B39" s="33" t="s">
        <v>49</v>
      </c>
      <c r="C39" s="123">
        <v>0</v>
      </c>
      <c r="D39" s="7" t="s">
        <v>70</v>
      </c>
      <c r="G39" s="5"/>
      <c r="H39" s="26">
        <v>43.4</v>
      </c>
      <c r="I39" s="26">
        <v>41.2</v>
      </c>
      <c r="J39" s="26">
        <v>39.9</v>
      </c>
      <c r="K39" s="129">
        <v>46.9</v>
      </c>
      <c r="L39" s="28" t="s">
        <v>22</v>
      </c>
      <c r="U39" s="132"/>
      <c r="V39" s="139">
        <f>IF(ISERROR(10*LOG(1/24*(13*(10^(H39/10))+3*(10^((I39+5)/10))+8*(10^((J39+10)/10))))),"-",10*LOG(1/24*(13*(10^(H39/10))+3*(10^((I39+5)/10))+8*(10^((J39+10)/10)))))</f>
        <v>46.957951728607</v>
      </c>
      <c r="W39" s="132"/>
      <c r="X39" s="132"/>
      <c r="Y39" s="132"/>
      <c r="Z39" s="137"/>
      <c r="AA39" s="136"/>
      <c r="AB39" s="136"/>
      <c r="AC39" s="136"/>
    </row>
    <row r="40" spans="2:29" ht="17.100000000000001" customHeight="1" x14ac:dyDescent="0.2">
      <c r="C40" s="133">
        <f>(C39*3600)/1000</f>
        <v>0</v>
      </c>
      <c r="D40" s="16" t="s">
        <v>83</v>
      </c>
      <c r="G40" s="14"/>
      <c r="H40" s="15"/>
      <c r="I40" s="15"/>
      <c r="J40" s="15"/>
      <c r="K40" s="15"/>
      <c r="L40" s="16"/>
      <c r="U40" s="132"/>
      <c r="V40" s="132"/>
      <c r="W40" s="132"/>
      <c r="X40" s="132"/>
      <c r="Y40" s="132"/>
      <c r="Z40" s="136"/>
      <c r="AA40" s="136"/>
      <c r="AB40" s="136"/>
      <c r="AC40" s="136"/>
    </row>
    <row r="41" spans="2:29" ht="6.75" customHeight="1" x14ac:dyDescent="0.2">
      <c r="U41" s="132"/>
      <c r="V41" s="132"/>
      <c r="W41" s="132"/>
      <c r="X41" s="132"/>
      <c r="Y41" s="132"/>
      <c r="Z41" s="136"/>
      <c r="AA41" s="136"/>
      <c r="AB41" s="136"/>
      <c r="AC41" s="136"/>
    </row>
    <row r="42" spans="2:29" ht="6.75" customHeight="1" x14ac:dyDescent="0.2">
      <c r="U42" s="132"/>
      <c r="V42" s="132"/>
      <c r="W42" s="132"/>
      <c r="X42" s="132"/>
      <c r="Y42" s="132"/>
      <c r="Z42" s="136"/>
      <c r="AA42" s="136"/>
      <c r="AB42" s="136"/>
      <c r="AC42" s="136"/>
    </row>
    <row r="43" spans="2:29" ht="12" customHeight="1" x14ac:dyDescent="0.2">
      <c r="G43" s="35"/>
      <c r="H43" s="62"/>
      <c r="I43" s="62"/>
      <c r="J43" s="62"/>
      <c r="K43" s="62"/>
      <c r="L43" s="36"/>
      <c r="U43" s="132"/>
      <c r="V43" s="132"/>
      <c r="W43" s="132"/>
      <c r="X43" s="132"/>
      <c r="Y43" s="132"/>
      <c r="Z43" s="136"/>
      <c r="AA43" s="136"/>
      <c r="AB43" s="136"/>
      <c r="AC43" s="136"/>
    </row>
    <row r="44" spans="2:29" ht="18" customHeight="1" x14ac:dyDescent="0.2">
      <c r="G44" s="37"/>
      <c r="H44" s="63" t="s">
        <v>23</v>
      </c>
      <c r="I44" s="64"/>
      <c r="J44" s="64"/>
      <c r="K44" s="65"/>
      <c r="L44" s="40"/>
      <c r="U44" s="132"/>
      <c r="V44" s="132"/>
      <c r="W44" s="132"/>
      <c r="X44" s="132"/>
      <c r="Y44" s="132"/>
      <c r="Z44" s="136"/>
      <c r="AA44" s="136"/>
      <c r="AB44" s="136"/>
      <c r="AC44" s="136"/>
    </row>
    <row r="45" spans="2:29" ht="21.95" customHeight="1" x14ac:dyDescent="0.2">
      <c r="G45" s="37"/>
      <c r="H45" s="38" t="s">
        <v>53</v>
      </c>
      <c r="I45" s="38" t="s">
        <v>54</v>
      </c>
      <c r="J45" s="38" t="s">
        <v>55</v>
      </c>
      <c r="K45" s="39" t="s">
        <v>48</v>
      </c>
      <c r="L45" s="40"/>
      <c r="U45" s="132"/>
      <c r="V45" s="132"/>
      <c r="W45" s="132"/>
      <c r="X45" s="132"/>
      <c r="Y45" s="132"/>
      <c r="Z45" s="136"/>
      <c r="AA45" s="136"/>
      <c r="AB45" s="136"/>
      <c r="AC45" s="136"/>
    </row>
    <row r="46" spans="2:29" ht="18.95" customHeight="1" x14ac:dyDescent="0.2">
      <c r="G46" s="102" t="s">
        <v>75</v>
      </c>
      <c r="H46" s="41">
        <f>IF(($Y$25)="","-",IF($Y$25&lt;0,"-",$Y$25))</f>
        <v>33.680261050219741</v>
      </c>
      <c r="I46" s="41">
        <f>IF(($Y$25)="","-",IF($Y$25&lt;0,"-",$Y$25))</f>
        <v>33.680261050219741</v>
      </c>
      <c r="J46" s="41">
        <f>IF(($Y$25)="","-",IF($Y$25&lt;0,"-",$Y$25))</f>
        <v>33.680261050219741</v>
      </c>
      <c r="K46" s="126">
        <f>IF(ISERROR(10*LOG(1/24*(13*(10^(H46/10))+3*(10^((I46+5)/10))+8*(10^((J46+10)/10))))),"-",10*LOG(1/24*(13*(10^(H46/10))+3*(10^((I46+5)/10))+8*(10^((J46+10)/10)))))</f>
        <v>39.984829362023554</v>
      </c>
      <c r="L46" s="42" t="s">
        <v>22</v>
      </c>
      <c r="U46" s="132"/>
      <c r="V46" s="132"/>
      <c r="W46" s="132"/>
      <c r="X46" s="132"/>
      <c r="Y46" s="132"/>
      <c r="Z46" s="136"/>
      <c r="AA46" s="136"/>
      <c r="AB46" s="136"/>
      <c r="AC46" s="136"/>
    </row>
    <row r="47" spans="2:29" ht="6.95" customHeight="1" x14ac:dyDescent="0.2">
      <c r="G47" s="43"/>
      <c r="H47" s="44"/>
      <c r="I47" s="44"/>
      <c r="J47" s="44"/>
      <c r="K47" s="127"/>
      <c r="L47" s="40"/>
      <c r="U47" s="132"/>
      <c r="V47" s="132"/>
      <c r="W47" s="132"/>
      <c r="X47" s="132"/>
      <c r="Y47" s="132"/>
      <c r="Z47" s="136"/>
      <c r="AA47" s="136"/>
      <c r="AB47" s="136"/>
      <c r="AC47" s="136"/>
    </row>
    <row r="48" spans="2:29" ht="14.1" customHeight="1" x14ac:dyDescent="0.2">
      <c r="G48" s="102" t="s">
        <v>76</v>
      </c>
      <c r="H48" s="41">
        <f>IF(($Y$30)="","-",IF($Y$30&lt;0,"-",$Y$30))</f>
        <v>21.935967121353116</v>
      </c>
      <c r="I48" s="41">
        <f>IF(($Y$30)="","-",IF($Y$30&lt;0,"-",$Y$30))</f>
        <v>21.935967121353116</v>
      </c>
      <c r="J48" s="41">
        <f>IF(($Y$30)="","-",IF($Y$30&lt;0,"-",$Y$30))</f>
        <v>21.935967121353116</v>
      </c>
      <c r="K48" s="126">
        <f>IF(ISERROR(10*LOG(1/24*(13*(10^(H48/10))+3*(10^((I48+5)/10))+8*(10^((J48+10)/10))))),"-",10*LOG(1/24*(13*(10^(H48/10))+3*(10^((I48+5)/10))+8*(10^((J48+10)/10)))))</f>
        <v>28.240535433156928</v>
      </c>
      <c r="L48" s="42" t="s">
        <v>22</v>
      </c>
      <c r="U48" s="132"/>
      <c r="V48" s="132"/>
      <c r="W48" s="132"/>
      <c r="X48" s="132"/>
      <c r="Y48" s="132"/>
      <c r="Z48" s="136"/>
      <c r="AA48" s="136"/>
      <c r="AB48" s="136"/>
      <c r="AC48" s="136"/>
    </row>
    <row r="49" spans="7:29" ht="12" customHeight="1" x14ac:dyDescent="0.2">
      <c r="G49" s="37"/>
      <c r="H49" s="44"/>
      <c r="I49" s="44"/>
      <c r="J49" s="44"/>
      <c r="K49" s="127"/>
      <c r="L49" s="40"/>
      <c r="U49" s="132"/>
      <c r="V49" s="132"/>
      <c r="W49" s="132"/>
      <c r="X49" s="132"/>
      <c r="Y49" s="132"/>
      <c r="Z49" s="136"/>
      <c r="AA49" s="136"/>
      <c r="AB49" s="136"/>
      <c r="AC49" s="136"/>
    </row>
    <row r="50" spans="7:29" ht="21.75" customHeight="1" x14ac:dyDescent="0.2">
      <c r="G50" s="66" t="s">
        <v>52</v>
      </c>
      <c r="H50" s="70">
        <f>IF(($W$33)="","-",IF($W$33&lt;0,"-",$W$33))</f>
        <v>23.860828835493169</v>
      </c>
      <c r="I50" s="70">
        <f>IF(($W$33)="","-",IF($W$33&lt;0,"-",$W$33))</f>
        <v>23.860828835493169</v>
      </c>
      <c r="J50" s="70">
        <f>IF(($W$33)="","-",IF($W$33&lt;0,"-",$W$33))</f>
        <v>23.860828835493169</v>
      </c>
      <c r="K50" s="128">
        <f>IF(ISERROR(10*LOG(1/24*(13*(10^(H50/10))+3*(10^((I50+5)/10))+8*(10^((J50+10)/10))))),"-",10*LOG(1/24*(13*(10^(H50/10))+3*(10^((I50+5)/10))+8*(10^((J50+10)/10)))))</f>
        <v>30.165397147296979</v>
      </c>
      <c r="L50" s="42" t="s">
        <v>22</v>
      </c>
      <c r="U50" s="132"/>
      <c r="V50" s="132"/>
      <c r="W50" s="132"/>
      <c r="X50" s="132"/>
      <c r="Y50" s="132"/>
      <c r="Z50" s="136"/>
      <c r="AA50" s="136"/>
      <c r="AB50" s="136"/>
      <c r="AC50" s="136"/>
    </row>
    <row r="51" spans="7:29" x14ac:dyDescent="0.2">
      <c r="G51" s="67"/>
      <c r="H51" s="68"/>
      <c r="I51" s="68"/>
      <c r="J51" s="68"/>
      <c r="K51" s="68"/>
      <c r="L51" s="69"/>
      <c r="U51" s="132"/>
      <c r="V51" s="132"/>
      <c r="W51" s="132"/>
      <c r="X51" s="132"/>
      <c r="Y51" s="132"/>
      <c r="Z51" s="136"/>
      <c r="AA51" s="136"/>
      <c r="AB51" s="136"/>
      <c r="AC51" s="136"/>
    </row>
    <row r="52" spans="7:29" ht="6.75" customHeight="1" x14ac:dyDescent="0.2">
      <c r="U52" s="132"/>
      <c r="V52" s="132"/>
      <c r="W52" s="132"/>
      <c r="X52" s="132"/>
      <c r="Y52" s="132"/>
      <c r="Z52" s="136"/>
      <c r="AA52" s="136"/>
      <c r="AB52" s="136"/>
      <c r="AC52" s="136"/>
    </row>
    <row r="53" spans="7:29" ht="6.75" customHeight="1" x14ac:dyDescent="0.2">
      <c r="U53" s="132"/>
      <c r="V53" s="132"/>
      <c r="W53" s="132"/>
      <c r="X53" s="132"/>
      <c r="Y53" s="132"/>
      <c r="Z53" s="136"/>
      <c r="AA53" s="136"/>
      <c r="AB53" s="136"/>
      <c r="AC53" s="136"/>
    </row>
    <row r="54" spans="7:29" ht="15.75" customHeight="1" x14ac:dyDescent="0.2">
      <c r="G54" s="45"/>
      <c r="H54" s="46"/>
      <c r="I54" s="46"/>
      <c r="J54" s="46"/>
      <c r="K54" s="46"/>
      <c r="L54" s="47"/>
      <c r="U54" s="132"/>
      <c r="V54" s="132"/>
      <c r="W54" s="132"/>
      <c r="X54" s="132"/>
      <c r="Y54" s="132"/>
      <c r="Z54" s="136"/>
      <c r="AA54" s="136"/>
      <c r="AB54" s="136"/>
      <c r="AC54" s="136"/>
    </row>
    <row r="55" spans="7:29" ht="14.1" customHeight="1" x14ac:dyDescent="0.25">
      <c r="G55" s="48"/>
      <c r="H55" s="49" t="s">
        <v>50</v>
      </c>
      <c r="I55" s="50"/>
      <c r="J55" s="50"/>
      <c r="K55" s="51"/>
      <c r="L55" s="52"/>
      <c r="U55" s="132"/>
      <c r="V55" s="132"/>
      <c r="W55" s="132"/>
      <c r="X55" s="132"/>
      <c r="Y55" s="132"/>
      <c r="Z55" s="136"/>
      <c r="AA55" s="136"/>
      <c r="AB55" s="136"/>
      <c r="AC55" s="136"/>
    </row>
    <row r="56" spans="7:29" ht="18.75" customHeight="1" x14ac:dyDescent="0.2">
      <c r="G56" s="48"/>
      <c r="H56" s="53" t="s">
        <v>53</v>
      </c>
      <c r="I56" s="53" t="s">
        <v>54</v>
      </c>
      <c r="J56" s="53" t="s">
        <v>55</v>
      </c>
      <c r="K56" s="54" t="s">
        <v>48</v>
      </c>
      <c r="L56" s="52"/>
      <c r="U56" s="132"/>
      <c r="V56" s="132"/>
      <c r="W56" s="132"/>
      <c r="X56" s="132"/>
      <c r="Y56" s="132"/>
      <c r="Z56" s="136"/>
      <c r="AA56" s="136"/>
      <c r="AB56" s="136"/>
      <c r="AC56" s="136"/>
    </row>
    <row r="57" spans="7:29" ht="29.1" customHeight="1" x14ac:dyDescent="0.2">
      <c r="G57" s="48"/>
      <c r="H57" s="115">
        <f>ROUND(IF(ISERROR(10*LOG10(10^($H$50/10)+10^(H39/10))),H39,10*LOG10(10^($H$50/10)+10^(H39/10))),1)</f>
        <v>43.4</v>
      </c>
      <c r="I57" s="115">
        <f>ROUND(IF(ISERROR(10*LOG10(10^($H$50/10)+10^(I39/10))),I39,10*LOG10(10^($H$50/10)+10^(I39/10))),1)</f>
        <v>41.3</v>
      </c>
      <c r="J57" s="115">
        <f>ROUND(IF(ISERROR(10*LOG10(10^($H$50/10)+10^(J39/10))),J39,10*LOG10(10^($H$50/10)+10^(J39/10))),1)</f>
        <v>40</v>
      </c>
      <c r="K57" s="138">
        <f>IF(V57&lt;7,0,V57)</f>
        <v>47.034285486309543</v>
      </c>
      <c r="L57" s="55" t="s">
        <v>22</v>
      </c>
      <c r="U57" s="132"/>
      <c r="V57" s="140">
        <f>IF(ISERROR(10*LOG(1/24*(13*(10^(H57/10))+3*(10^((I57+5)/10))+8*(10^((J57+10)/10))))),"-",10*LOG(1/24*(13*(10^(H57/10))+3*(10^((I57+5)/10))+8*(10^((J57+10)/10)))))</f>
        <v>47.034285486309543</v>
      </c>
      <c r="W57" s="132"/>
      <c r="X57" s="132"/>
      <c r="Y57" s="132"/>
      <c r="Z57" s="136"/>
      <c r="AA57" s="136"/>
      <c r="AB57" s="136"/>
      <c r="AC57" s="136"/>
    </row>
    <row r="58" spans="7:29" ht="11.1" customHeight="1" x14ac:dyDescent="0.2">
      <c r="G58" s="48"/>
      <c r="H58" s="56"/>
      <c r="I58" s="56"/>
      <c r="J58" s="56"/>
      <c r="K58" s="56"/>
      <c r="L58" s="52"/>
      <c r="U58" s="132"/>
      <c r="V58" s="132"/>
      <c r="W58" s="132"/>
      <c r="X58" s="132"/>
      <c r="Y58" s="132"/>
      <c r="Z58" s="136"/>
      <c r="AA58" s="136"/>
      <c r="AB58" s="136"/>
      <c r="AC58" s="136"/>
    </row>
    <row r="59" spans="7:29" ht="17.100000000000001" customHeight="1" x14ac:dyDescent="0.2">
      <c r="G59" s="57" t="s">
        <v>73</v>
      </c>
      <c r="H59" s="58" t="str">
        <f>IF(H57&lt;=45,"- ",H57-H39)</f>
        <v xml:space="preserve">- </v>
      </c>
      <c r="I59" s="58" t="str">
        <f>IF(I57&lt;=45,"- ",I57-I39)</f>
        <v xml:space="preserve">- </v>
      </c>
      <c r="J59" s="58" t="str">
        <f>IF(J57&lt;=45,"- ",J57-J39)</f>
        <v xml:space="preserve">- </v>
      </c>
      <c r="K59" s="56"/>
      <c r="L59" s="52"/>
      <c r="U59" s="132"/>
      <c r="V59" s="132"/>
      <c r="W59" s="132"/>
      <c r="X59" s="132"/>
      <c r="Y59" s="132"/>
      <c r="Z59" s="136"/>
      <c r="AA59" s="136"/>
      <c r="AB59" s="136"/>
      <c r="AC59" s="136"/>
    </row>
    <row r="60" spans="7:29" ht="14.1" customHeight="1" x14ac:dyDescent="0.2">
      <c r="G60" s="59"/>
      <c r="H60" s="60"/>
      <c r="I60" s="60"/>
      <c r="J60" s="60"/>
      <c r="K60" s="60"/>
      <c r="L60" s="61"/>
      <c r="U60" s="132"/>
      <c r="V60" s="132"/>
      <c r="W60" s="132"/>
      <c r="X60" s="132"/>
      <c r="Y60" s="132"/>
      <c r="Z60" s="136"/>
      <c r="AA60" s="136"/>
      <c r="AB60" s="136"/>
      <c r="AC60" s="136"/>
    </row>
    <row r="61" spans="7:29" x14ac:dyDescent="0.2"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7:29" x14ac:dyDescent="0.2"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7:29" x14ac:dyDescent="0.2">
      <c r="U63" s="136"/>
      <c r="V63" s="136"/>
      <c r="W63" s="136"/>
      <c r="X63" s="136"/>
      <c r="Y63" s="136"/>
      <c r="Z63" s="136"/>
      <c r="AA63" s="136"/>
      <c r="AB63" s="136"/>
      <c r="AC63" s="136"/>
    </row>
    <row r="82" spans="2:7" ht="15" x14ac:dyDescent="0.25">
      <c r="B82" s="29" t="s">
        <v>20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2 para CALB A</v>
      </c>
      <c r="D83" s="145"/>
      <c r="E83" s="145"/>
      <c r="F83" s="145"/>
      <c r="G83" s="149"/>
    </row>
    <row r="84" spans="2:7" ht="15" x14ac:dyDescent="0.25">
      <c r="B84" s="30" t="s">
        <v>5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21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16</v>
      </c>
      <c r="C86" s="150" t="str">
        <f>C9</f>
        <v>Ponto 4 (Apoio DLT)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99" spans="3:7" x14ac:dyDescent="0.2">
      <c r="C99" s="144" t="s">
        <v>78</v>
      </c>
      <c r="D99" s="144" t="s">
        <v>79</v>
      </c>
    </row>
    <row r="100" spans="3:7" x14ac:dyDescent="0.2">
      <c r="C100" s="144"/>
      <c r="D100" s="144"/>
    </row>
    <row r="101" spans="3:7" x14ac:dyDescent="0.2">
      <c r="C101" s="78">
        <f>H13</f>
        <v>0</v>
      </c>
      <c r="D101" s="79">
        <f>I13</f>
        <v>0</v>
      </c>
      <c r="F101" s="100">
        <f>I33</f>
        <v>82</v>
      </c>
      <c r="G101" t="s">
        <v>27</v>
      </c>
    </row>
    <row r="102" spans="3:7" x14ac:dyDescent="0.2">
      <c r="C102" s="80">
        <f>H15</f>
        <v>-7.8</v>
      </c>
      <c r="D102" s="81">
        <f>I15</f>
        <v>7.8</v>
      </c>
    </row>
    <row r="103" spans="3:7" x14ac:dyDescent="0.2">
      <c r="C103" s="82">
        <f>H17</f>
        <v>-7.8</v>
      </c>
      <c r="D103" s="83">
        <f>I17</f>
        <v>0</v>
      </c>
    </row>
    <row r="104" spans="3:7" x14ac:dyDescent="0.2">
      <c r="C104" s="144"/>
      <c r="D104" s="144"/>
    </row>
    <row r="105" spans="3:7" x14ac:dyDescent="0.2">
      <c r="C105" s="78">
        <f>H21</f>
        <v>0</v>
      </c>
      <c r="D105" s="79">
        <f>I21</f>
        <v>0</v>
      </c>
    </row>
    <row r="106" spans="3:7" x14ac:dyDescent="0.2">
      <c r="C106" s="80">
        <f>H23</f>
        <v>22.25</v>
      </c>
      <c r="D106" s="81">
        <f>I23</f>
        <v>22.25</v>
      </c>
      <c r="G106" s="99">
        <f>N29</f>
        <v>1.5</v>
      </c>
    </row>
    <row r="107" spans="3:7" x14ac:dyDescent="0.2">
      <c r="C107" s="82">
        <f>H25</f>
        <v>14</v>
      </c>
      <c r="D107" s="83">
        <f>I25</f>
        <v>0</v>
      </c>
      <c r="G107" s="144"/>
    </row>
    <row r="108" spans="3:7" x14ac:dyDescent="0.2">
      <c r="C108" s="144"/>
      <c r="D108" s="144"/>
      <c r="G108" s="155">
        <f>K33</f>
        <v>231</v>
      </c>
    </row>
    <row r="109" spans="3:7" x14ac:dyDescent="0.2">
      <c r="C109" s="84">
        <f>H29</f>
        <v>3.18</v>
      </c>
      <c r="D109" s="144"/>
      <c r="G109" s="156"/>
    </row>
    <row r="110" spans="3:7" x14ac:dyDescent="0.2">
      <c r="C110" s="144"/>
      <c r="D110" s="144"/>
    </row>
    <row r="112" spans="3:7" x14ac:dyDescent="0.2">
      <c r="C112" s="85">
        <f>L13</f>
        <v>0</v>
      </c>
      <c r="D112" s="86">
        <f>M13</f>
        <v>0</v>
      </c>
      <c r="G112" s="157" t="str">
        <f>IF(R8=1,"Minho",IF(R8=2,"Trás-os-Montes",IF(R8=3,"centro","sul")))</f>
        <v>sul</v>
      </c>
    </row>
    <row r="113" spans="1:7" x14ac:dyDescent="0.2">
      <c r="C113" s="87">
        <f>L15</f>
        <v>16.04</v>
      </c>
      <c r="D113" s="88">
        <f>M15</f>
        <v>14.64</v>
      </c>
      <c r="G113" s="157"/>
    </row>
    <row r="114" spans="1:7" x14ac:dyDescent="0.2">
      <c r="C114" s="89">
        <f>L17</f>
        <v>16.010000000000002</v>
      </c>
      <c r="D114" s="90">
        <f>M17</f>
        <v>0</v>
      </c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53</v>
      </c>
      <c r="D117" s="134" t="s">
        <v>54</v>
      </c>
      <c r="E117" s="134" t="s">
        <v>55</v>
      </c>
      <c r="F117" s="134" t="s">
        <v>48</v>
      </c>
    </row>
    <row r="118" spans="1:7" x14ac:dyDescent="0.2">
      <c r="C118" s="92">
        <f>H39</f>
        <v>43.4</v>
      </c>
      <c r="D118" s="93">
        <f>I39</f>
        <v>41.2</v>
      </c>
      <c r="E118" s="93">
        <f>J39</f>
        <v>39.9</v>
      </c>
      <c r="F118" s="106">
        <f>K39</f>
        <v>46.9</v>
      </c>
      <c r="G118" t="s">
        <v>22</v>
      </c>
    </row>
    <row r="119" spans="1:7" ht="14.1" customHeight="1" x14ac:dyDescent="0.2"/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53</v>
      </c>
      <c r="D125" s="134" t="s">
        <v>54</v>
      </c>
      <c r="E125" s="134" t="s">
        <v>55</v>
      </c>
      <c r="F125" s="134" t="s">
        <v>48</v>
      </c>
    </row>
    <row r="127" spans="1:7" x14ac:dyDescent="0.2">
      <c r="B127" s="97" t="s">
        <v>71</v>
      </c>
      <c r="C127" s="98">
        <f>H46</f>
        <v>33.680261050219741</v>
      </c>
      <c r="D127" s="98">
        <f>I46</f>
        <v>33.680261050219741</v>
      </c>
      <c r="E127" s="98">
        <f>J46</f>
        <v>33.680261050219741</v>
      </c>
      <c r="F127" s="98">
        <f>K46</f>
        <v>39.984829362023554</v>
      </c>
      <c r="G127" s="94" t="s">
        <v>22</v>
      </c>
    </row>
    <row r="128" spans="1:7" x14ac:dyDescent="0.2">
      <c r="B128" s="96" t="s">
        <v>72</v>
      </c>
      <c r="C128" s="77">
        <f>H48</f>
        <v>21.935967121353116</v>
      </c>
      <c r="D128" s="77">
        <f>I48</f>
        <v>21.935967121353116</v>
      </c>
      <c r="E128" s="77">
        <f>J48</f>
        <v>21.935967121353116</v>
      </c>
      <c r="F128" s="77">
        <f>K48</f>
        <v>28.240535433156928</v>
      </c>
      <c r="G128" s="94" t="s">
        <v>22</v>
      </c>
    </row>
    <row r="131" spans="3:7" x14ac:dyDescent="0.2">
      <c r="C131" s="104">
        <f>H50</f>
        <v>23.860828835493169</v>
      </c>
      <c r="D131" s="104">
        <f>I50</f>
        <v>23.860828835493169</v>
      </c>
      <c r="E131" s="104">
        <f>J50</f>
        <v>23.860828835493169</v>
      </c>
      <c r="F131" s="101">
        <f>K50</f>
        <v>30.165397147296979</v>
      </c>
      <c r="G131" s="105" t="s">
        <v>22</v>
      </c>
    </row>
    <row r="132" spans="3:7" x14ac:dyDescent="0.2">
      <c r="C132" s="144"/>
      <c r="D132" s="144"/>
      <c r="E132" s="144"/>
      <c r="F132" s="144"/>
    </row>
    <row r="137" spans="3:7" x14ac:dyDescent="0.2">
      <c r="C137" s="135" t="s">
        <v>53</v>
      </c>
      <c r="D137" s="135" t="s">
        <v>54</v>
      </c>
      <c r="E137" s="135" t="s">
        <v>55</v>
      </c>
      <c r="F137" s="135" t="s">
        <v>48</v>
      </c>
    </row>
    <row r="138" spans="3:7" ht="21" customHeight="1" x14ac:dyDescent="0.2">
      <c r="C138" s="95">
        <f>H57</f>
        <v>43.4</v>
      </c>
      <c r="D138" s="95">
        <f>I57</f>
        <v>41.3</v>
      </c>
      <c r="E138" s="95">
        <f>J57</f>
        <v>40</v>
      </c>
      <c r="F138" s="101">
        <f>K57</f>
        <v>47.034285486309543</v>
      </c>
      <c r="G138" s="105" t="s">
        <v>22</v>
      </c>
    </row>
  </sheetData>
  <mergeCells count="9">
    <mergeCell ref="C88:D88"/>
    <mergeCell ref="G108:G109"/>
    <mergeCell ref="G112:G113"/>
    <mergeCell ref="C4:E4"/>
    <mergeCell ref="C5:D5"/>
    <mergeCell ref="C6:E6"/>
    <mergeCell ref="C7:E7"/>
    <mergeCell ref="C8:E8"/>
    <mergeCell ref="C9:E9"/>
  </mergeCells>
  <pageMargins left="0.75" right="0.75" top="1" bottom="1" header="0.5" footer="0.5"/>
  <pageSetup paperSize="0" scale="96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3" name="Lista pendente 288">
              <controlPr defaultSize="0" autoLine="0" autoPict="0">
                <anchor moveWithCells="1">
                  <from>
                    <xdr:col>11</xdr:col>
                    <xdr:colOff>476250</xdr:colOff>
                    <xdr:row>21</xdr:row>
                    <xdr:rowOff>28575</xdr:rowOff>
                  </from>
                  <to>
                    <xdr:col>14</xdr:col>
                    <xdr:colOff>238125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419C-7C32-42D3-8F4E-E6F5436EBC9D}">
  <sheetPr>
    <pageSetUpPr fitToPage="1"/>
  </sheetPr>
  <dimension ref="A2:AC138"/>
  <sheetViews>
    <sheetView showGridLines="0" topLeftCell="A94" zoomScale="85" zoomScaleNormal="85" workbookViewId="0">
      <selection activeCell="A82" sqref="A82:G138"/>
    </sheetView>
  </sheetViews>
  <sheetFormatPr defaultColWidth="11.42578125" defaultRowHeight="12.75" x14ac:dyDescent="0.2"/>
  <cols>
    <col min="1" max="1" width="8.7109375" customWidth="1" collapsed="1"/>
    <col min="2" max="2" width="12.85546875" customWidth="1" collapsed="1"/>
    <col min="3" max="6" width="11.42578125" customWidth="1" collapsed="1"/>
    <col min="7" max="8" width="11.28515625" customWidth="1" collapsed="1"/>
  </cols>
  <sheetData>
    <row r="2" spans="2:29" x14ac:dyDescent="0.2">
      <c r="U2" s="137"/>
      <c r="V2" s="137"/>
      <c r="W2" s="137"/>
      <c r="X2" s="137"/>
      <c r="Y2" s="137"/>
      <c r="Z2" s="137"/>
      <c r="AA2" s="136"/>
      <c r="AB2" s="136"/>
      <c r="AC2" s="136"/>
    </row>
    <row r="3" spans="2:29" x14ac:dyDescent="0.2">
      <c r="S3" s="21" t="s">
        <v>29</v>
      </c>
      <c r="U3" s="132"/>
      <c r="V3" s="132"/>
      <c r="W3" s="132">
        <v>-119.74</v>
      </c>
      <c r="X3" s="132">
        <v>-119.03</v>
      </c>
      <c r="Y3" s="132"/>
      <c r="Z3" s="137"/>
      <c r="AA3" s="136"/>
      <c r="AB3" s="136"/>
      <c r="AC3" s="136"/>
    </row>
    <row r="4" spans="2:29" ht="20.100000000000001" customHeight="1" x14ac:dyDescent="0.25">
      <c r="B4" s="29" t="s">
        <v>2</v>
      </c>
      <c r="C4" s="158" t="s">
        <v>85</v>
      </c>
      <c r="D4" s="159"/>
      <c r="E4" s="160"/>
      <c r="S4" s="21" t="s">
        <v>40</v>
      </c>
      <c r="U4" s="132"/>
      <c r="V4" s="132"/>
      <c r="W4" s="132">
        <v>-120.93</v>
      </c>
      <c r="X4" s="132">
        <v>-121.67</v>
      </c>
      <c r="Y4" s="132"/>
      <c r="Z4" s="137"/>
      <c r="AA4" s="136"/>
      <c r="AB4" s="136"/>
      <c r="AC4" s="136"/>
    </row>
    <row r="5" spans="2:29" ht="18.75" customHeight="1" x14ac:dyDescent="0.25">
      <c r="B5" s="30" t="s">
        <v>20</v>
      </c>
      <c r="C5" s="161" t="s">
        <v>85</v>
      </c>
      <c r="D5" s="161"/>
      <c r="E5" s="24"/>
      <c r="S5" s="21" t="s">
        <v>30</v>
      </c>
      <c r="U5" s="132"/>
      <c r="V5" s="132"/>
      <c r="W5" s="132" t="s">
        <v>7</v>
      </c>
      <c r="X5" s="132"/>
      <c r="Y5" s="132"/>
      <c r="Z5" s="137"/>
      <c r="AA5" s="136"/>
      <c r="AB5" s="136"/>
      <c r="AC5" s="136"/>
    </row>
    <row r="6" spans="2:29" ht="20.100000000000001" customHeight="1" x14ac:dyDescent="0.25">
      <c r="B6" s="30" t="s">
        <v>17</v>
      </c>
      <c r="C6" s="162" t="s">
        <v>89</v>
      </c>
      <c r="D6" s="163"/>
      <c r="E6" s="164"/>
      <c r="S6" s="20" t="s">
        <v>69</v>
      </c>
      <c r="U6" s="132"/>
      <c r="V6" s="132"/>
      <c r="W6" s="132">
        <f>IF(ISERROR($W$4+120*LOG(L13)+55*LOG(H29)),0,$W$4+120*LOG(L13)+55*LOG(H29))</f>
        <v>0</v>
      </c>
      <c r="X6" s="132">
        <f>IF(ISERROR($W$4+120*LOG(M13)+55*LOG(H29)),0,$W$4+120*LOG(M13)+55*LOG(H29))</f>
        <v>0</v>
      </c>
      <c r="Y6" s="132"/>
      <c r="Z6" s="137"/>
      <c r="AA6" s="136"/>
      <c r="AB6" s="136"/>
      <c r="AC6" s="136"/>
    </row>
    <row r="7" spans="2:29" ht="18.75" customHeight="1" x14ac:dyDescent="0.25">
      <c r="B7" s="30" t="s">
        <v>5</v>
      </c>
      <c r="C7" s="162" t="s">
        <v>88</v>
      </c>
      <c r="D7" s="165"/>
      <c r="E7" s="166"/>
      <c r="U7" s="132"/>
      <c r="V7" s="132"/>
      <c r="W7" s="132">
        <f>IF(ISERROR($X$4+120*LOG(L15)+55*LOG(H29)),0,$X$4+120*LOG(L15)+55*LOG(H29))</f>
        <v>50.588015272921155</v>
      </c>
      <c r="X7" s="132">
        <f>IF(ISERROR($X$4+120*LOG(M15)+55*LOG(H29)),0,$X$4+120*LOG(M15)+55*LOG(H29))</f>
        <v>45.828420805828557</v>
      </c>
      <c r="Y7" s="132"/>
      <c r="Z7" s="137"/>
      <c r="AA7" s="136"/>
      <c r="AB7" s="136"/>
      <c r="AC7" s="136"/>
    </row>
    <row r="8" spans="2:29" ht="15.75" customHeight="1" x14ac:dyDescent="0.25">
      <c r="B8" s="30" t="s">
        <v>21</v>
      </c>
      <c r="C8" s="162" t="s">
        <v>86</v>
      </c>
      <c r="D8" s="163"/>
      <c r="E8" s="166"/>
      <c r="R8" s="131">
        <v>4</v>
      </c>
      <c r="U8" s="132"/>
      <c r="V8" s="132"/>
      <c r="W8" s="132">
        <f>IF(ISERROR($W$4+120*LOG(L17)+55*LOG(H29)),0,$W$4+120*LOG(L17)+55*LOG(H29))</f>
        <v>51.230451429459762</v>
      </c>
      <c r="X8" s="132">
        <f>IF(ISERROR($W$4+120*LOG(M17)+55*LOG(H29)),0,$W$4+120*LOG(M17)+55*LOG(H29))</f>
        <v>0</v>
      </c>
      <c r="Y8" s="132"/>
      <c r="Z8" s="137"/>
      <c r="AA8" s="136"/>
      <c r="AB8" s="136"/>
      <c r="AC8" s="136"/>
    </row>
    <row r="9" spans="2:29" ht="17.100000000000001" customHeight="1" x14ac:dyDescent="0.25">
      <c r="B9" s="31" t="s">
        <v>16</v>
      </c>
      <c r="C9" s="167" t="s">
        <v>92</v>
      </c>
      <c r="D9" s="168"/>
      <c r="E9" s="169"/>
      <c r="U9" s="132"/>
      <c r="V9" s="132"/>
      <c r="W9" s="132"/>
      <c r="X9" s="132"/>
      <c r="Y9" s="132"/>
      <c r="Z9" s="137"/>
      <c r="AA9" s="136"/>
      <c r="AB9" s="136"/>
      <c r="AC9" s="136"/>
    </row>
    <row r="10" spans="2:29" ht="20.100000000000001" customHeight="1" x14ac:dyDescent="0.2">
      <c r="U10" s="132"/>
      <c r="V10" s="132"/>
      <c r="W10" s="132" t="s">
        <v>8</v>
      </c>
      <c r="X10" s="132"/>
      <c r="Y10" s="132"/>
      <c r="Z10" s="137"/>
      <c r="AA10" s="136"/>
      <c r="AB10" s="136"/>
      <c r="AC10" s="136"/>
    </row>
    <row r="11" spans="2:29" ht="11.1" customHeight="1" x14ac:dyDescent="0.2">
      <c r="G11" s="1"/>
      <c r="H11" s="2"/>
      <c r="I11" s="2"/>
      <c r="J11" s="2"/>
      <c r="K11" s="2"/>
      <c r="L11" s="2"/>
      <c r="M11" s="2"/>
      <c r="N11" s="2"/>
      <c r="O11" s="4"/>
      <c r="U11" s="132"/>
      <c r="V11" s="132"/>
      <c r="W11" s="132"/>
      <c r="X11" s="132"/>
      <c r="Y11" s="132"/>
      <c r="Z11" s="137"/>
      <c r="AA11" s="136"/>
      <c r="AB11" s="136"/>
      <c r="AC11" s="136"/>
    </row>
    <row r="12" spans="2:29" ht="26.1" customHeight="1" x14ac:dyDescent="0.2">
      <c r="G12" s="5"/>
      <c r="H12" s="72" t="s">
        <v>0</v>
      </c>
      <c r="I12" s="6"/>
      <c r="J12" s="6"/>
      <c r="K12" s="6"/>
      <c r="L12" s="72" t="s">
        <v>1</v>
      </c>
      <c r="M12" s="6"/>
      <c r="N12" s="6"/>
      <c r="O12" s="7"/>
      <c r="U12" s="132"/>
      <c r="V12" s="132"/>
      <c r="W12" s="132">
        <f>IF(ISERROR(-109.6+120*LOG10(L13)+55*LOG10(H29)),0,-109.6+120*LOG10(L13)+55*LOG10(H29))</f>
        <v>0</v>
      </c>
      <c r="X12" s="132">
        <f>IF(ISERROR(-109.6+120*LOG10(M13)+55*LOG10(H29)),0,-109.6+120*LOG10(M13)+55*LOG10(H29))</f>
        <v>0</v>
      </c>
      <c r="Y12" s="132"/>
      <c r="Z12" s="137"/>
      <c r="AA12" s="136"/>
      <c r="AB12" s="136"/>
      <c r="AC12" s="136"/>
    </row>
    <row r="13" spans="2:29" ht="24.75" customHeight="1" x14ac:dyDescent="0.2">
      <c r="G13" s="5"/>
      <c r="H13" s="141"/>
      <c r="I13" s="141"/>
      <c r="J13" s="6"/>
      <c r="K13" s="6"/>
      <c r="L13" s="114"/>
      <c r="M13" s="114"/>
      <c r="N13" s="6"/>
      <c r="O13" s="7"/>
      <c r="U13" s="132"/>
      <c r="V13" s="132"/>
      <c r="W13" s="132">
        <f>IF(ISERROR(-109.6+120*LOG10(L15)+55*LOG10(H29)),0,-109.6+120*LOG10(L15)+55*LOG10(H29))</f>
        <v>62.658015272921162</v>
      </c>
      <c r="X13" s="132">
        <f>IF(ISERROR(-109.6+120*LOG10(M15)+55*LOG10(H29)),0,-109.6+120*LOG10(M15)+55*LOG10(H29))</f>
        <v>57.898420805828565</v>
      </c>
      <c r="Y13" s="132"/>
      <c r="Z13" s="137"/>
      <c r="AA13" s="136"/>
      <c r="AB13" s="136"/>
      <c r="AC13" s="136"/>
    </row>
    <row r="14" spans="2:29" ht="17.100000000000001" customHeight="1" x14ac:dyDescent="0.2">
      <c r="G14" s="5"/>
      <c r="H14" s="73"/>
      <c r="I14" s="73"/>
      <c r="J14" s="6"/>
      <c r="K14" s="6"/>
      <c r="L14" s="74"/>
      <c r="M14" s="74"/>
      <c r="N14" s="6"/>
      <c r="O14" s="7"/>
      <c r="U14" s="132"/>
      <c r="V14" s="132"/>
      <c r="W14" s="132">
        <f>IF(ISERROR(-109.6+120*LOG10(L17)+55*LOG10(H29)),0,-109.6+120*LOG10(L17)+55*LOG10(H29))</f>
        <v>62.560451429459775</v>
      </c>
      <c r="X14" s="132">
        <f>IF(ISERROR(-109.6+120*LOG10(M17)+55*LOG10(H29)),0,-109.6+120*LOG10(M17)+55*LOG10(H29))</f>
        <v>0</v>
      </c>
      <c r="Y14" s="132"/>
      <c r="Z14" s="137"/>
      <c r="AA14" s="136"/>
      <c r="AB14" s="136"/>
      <c r="AC14" s="136"/>
    </row>
    <row r="15" spans="2:29" ht="24.75" customHeight="1" x14ac:dyDescent="0.2">
      <c r="G15" s="5"/>
      <c r="H15" s="141">
        <v>-7.8</v>
      </c>
      <c r="I15" s="141">
        <v>7.8</v>
      </c>
      <c r="J15" s="6"/>
      <c r="K15" s="6"/>
      <c r="L15" s="114">
        <v>16.04</v>
      </c>
      <c r="M15" s="114">
        <v>14.64</v>
      </c>
      <c r="N15" s="6"/>
      <c r="O15" s="7"/>
      <c r="U15" s="132"/>
      <c r="V15" s="132"/>
      <c r="W15" s="132"/>
      <c r="X15" s="132"/>
      <c r="Y15" s="132"/>
      <c r="Z15" s="137"/>
      <c r="AA15" s="136"/>
      <c r="AB15" s="136"/>
      <c r="AC15" s="136"/>
    </row>
    <row r="16" spans="2:29" ht="18" customHeight="1" x14ac:dyDescent="0.2">
      <c r="G16" s="5"/>
      <c r="H16" s="73"/>
      <c r="I16" s="73"/>
      <c r="J16" s="6"/>
      <c r="K16" s="6"/>
      <c r="L16" s="74"/>
      <c r="M16" s="74"/>
      <c r="N16" s="6"/>
      <c r="O16" s="7"/>
      <c r="U16" s="132"/>
      <c r="V16" s="132"/>
      <c r="W16" s="132" t="s">
        <v>9</v>
      </c>
      <c r="X16" s="132"/>
      <c r="Y16" s="132"/>
      <c r="Z16" s="137"/>
      <c r="AA16" s="136"/>
      <c r="AB16" s="136"/>
      <c r="AC16" s="136"/>
    </row>
    <row r="17" spans="7:29" ht="24.75" customHeight="1" x14ac:dyDescent="0.2">
      <c r="G17" s="5"/>
      <c r="H17" s="141">
        <v>-7.8</v>
      </c>
      <c r="I17" s="141"/>
      <c r="J17" s="6"/>
      <c r="K17" s="6"/>
      <c r="L17" s="114">
        <v>16.010000000000002</v>
      </c>
      <c r="M17" s="114"/>
      <c r="N17" s="6"/>
      <c r="O17" s="7"/>
      <c r="U17" s="132"/>
      <c r="V17" s="132"/>
      <c r="W17" s="132">
        <f>SQRT((H13-$K$33)^2+(($H$21+I33)-($N$29+N33))^2)</f>
        <v>272.10338108887953</v>
      </c>
      <c r="X17" s="132">
        <f>SQRT((I13-$K$33)^2+(($I$21+I33)-($N$29+N33))^2)</f>
        <v>272.10338108887953</v>
      </c>
      <c r="Y17" s="132"/>
      <c r="Z17" s="137"/>
      <c r="AA17" s="136"/>
      <c r="AB17" s="136"/>
      <c r="AC17" s="136"/>
    </row>
    <row r="18" spans="7:29" ht="12.75" customHeight="1" x14ac:dyDescent="0.2">
      <c r="G18" s="5"/>
      <c r="H18" s="6"/>
      <c r="I18" s="6"/>
      <c r="J18" s="6"/>
      <c r="K18" s="6"/>
      <c r="L18" s="6"/>
      <c r="M18" s="6"/>
      <c r="N18" s="6"/>
      <c r="O18" s="7"/>
      <c r="U18" s="132"/>
      <c r="V18" s="132"/>
      <c r="W18" s="132">
        <f>SQRT((H15-$K$33)^2+(($H$23+I33)-($N$29+N33))^2)</f>
        <v>281.37715347909824</v>
      </c>
      <c r="X18" s="132">
        <f>SQRT((I15-$K$33)^2+(($I$23+I33)-($N$29+N33))^2)</f>
        <v>265.8697096323686</v>
      </c>
      <c r="Y18" s="132"/>
      <c r="Z18" s="137"/>
      <c r="AA18" s="136"/>
      <c r="AB18" s="136"/>
      <c r="AC18" s="136"/>
    </row>
    <row r="19" spans="7:29" ht="12" customHeight="1" x14ac:dyDescent="0.2">
      <c r="G19" s="5"/>
      <c r="H19" s="6"/>
      <c r="I19" s="6"/>
      <c r="J19" s="6"/>
      <c r="K19" s="6"/>
      <c r="L19" s="6"/>
      <c r="M19" s="6"/>
      <c r="N19" s="6"/>
      <c r="O19" s="7"/>
      <c r="U19" s="132"/>
      <c r="V19" s="132"/>
      <c r="W19" s="132">
        <f>SQRT((H17-$K$33)^2+(($H$25+I33)-($N$29+N33))^2)</f>
        <v>280.62482071263764</v>
      </c>
      <c r="X19" s="132">
        <f>SQRT((I17-$K$33)^2+(($I$25+I33)-($N$29+N33))^2)</f>
        <v>272.10338108887953</v>
      </c>
      <c r="Y19" s="132"/>
      <c r="Z19" s="137"/>
      <c r="AA19" s="136"/>
      <c r="AB19" s="136"/>
      <c r="AC19" s="136"/>
    </row>
    <row r="20" spans="7:29" ht="20.100000000000001" customHeight="1" x14ac:dyDescent="0.2">
      <c r="G20" s="5"/>
      <c r="H20" s="72" t="s">
        <v>3</v>
      </c>
      <c r="I20" s="6"/>
      <c r="J20" s="6"/>
      <c r="K20" s="6"/>
      <c r="L20" s="10"/>
      <c r="M20" s="6"/>
      <c r="N20" s="6"/>
      <c r="O20" s="7"/>
      <c r="U20" s="132"/>
      <c r="V20" s="132"/>
      <c r="W20" s="132"/>
      <c r="X20" s="132"/>
      <c r="Y20" s="132"/>
      <c r="Z20" s="137"/>
      <c r="AA20" s="136"/>
      <c r="AB20" s="136"/>
      <c r="AC20" s="136"/>
    </row>
    <row r="21" spans="7:29" ht="24.75" customHeight="1" x14ac:dyDescent="0.2">
      <c r="G21" s="5"/>
      <c r="H21" s="141"/>
      <c r="I21" s="141"/>
      <c r="J21" s="6"/>
      <c r="K21" s="6"/>
      <c r="L21" s="10"/>
      <c r="M21" s="6"/>
      <c r="N21" s="6"/>
      <c r="O21" s="7"/>
      <c r="U21" s="132"/>
      <c r="V21" s="132"/>
      <c r="W21" s="132" t="s">
        <v>10</v>
      </c>
      <c r="X21" s="132"/>
      <c r="Y21" s="132"/>
      <c r="Z21" s="137"/>
      <c r="AA21" s="136"/>
      <c r="AB21" s="136"/>
      <c r="AC21" s="136"/>
    </row>
    <row r="22" spans="7:29" ht="14.25" x14ac:dyDescent="0.2">
      <c r="G22" s="5"/>
      <c r="H22" s="73"/>
      <c r="I22" s="73"/>
      <c r="J22" s="6"/>
      <c r="K22" s="6"/>
      <c r="L22" s="10"/>
      <c r="M22" s="6"/>
      <c r="N22" s="6"/>
      <c r="O22" s="7"/>
      <c r="U22" s="132"/>
      <c r="V22" s="132"/>
      <c r="W22" s="132">
        <f t="shared" ref="W22:X24" si="0">IF(ISERROR(W12-11.4*LOG10(W17)-5.8+($I$33/300)),"",W12-11.4*LOG10(W17)-5.8+($I$33/300))</f>
        <v>-33.282633562698535</v>
      </c>
      <c r="X22" s="132">
        <f t="shared" si="0"/>
        <v>-33.282633562698535</v>
      </c>
      <c r="Y22" s="132"/>
      <c r="Z22" s="137"/>
      <c r="AA22" s="136"/>
      <c r="AB22" s="136"/>
      <c r="AC22" s="136"/>
    </row>
    <row r="23" spans="7:29" ht="24.75" customHeight="1" x14ac:dyDescent="0.2">
      <c r="G23" s="5"/>
      <c r="H23" s="141">
        <v>22.25</v>
      </c>
      <c r="I23" s="141">
        <v>22.25</v>
      </c>
      <c r="J23" s="6"/>
      <c r="K23" s="6"/>
      <c r="L23" s="111"/>
      <c r="M23" s="6"/>
      <c r="N23" s="6"/>
      <c r="O23" s="7"/>
      <c r="U23" s="132"/>
      <c r="V23" s="132"/>
      <c r="W23" s="132">
        <f t="shared" si="0"/>
        <v>29.20945592338207</v>
      </c>
      <c r="X23" s="132">
        <f t="shared" si="0"/>
        <v>24.730529120859035</v>
      </c>
      <c r="Y23" s="132"/>
      <c r="Z23" s="137"/>
      <c r="AA23" s="136"/>
      <c r="AB23" s="136"/>
      <c r="AC23" s="136"/>
    </row>
    <row r="24" spans="7:29" ht="15" customHeight="1" x14ac:dyDescent="0.2">
      <c r="G24" s="5"/>
      <c r="H24" s="73"/>
      <c r="I24" s="73"/>
      <c r="J24" s="6"/>
      <c r="K24" s="6"/>
      <c r="L24" s="6"/>
      <c r="M24" s="6"/>
      <c r="N24" s="6"/>
      <c r="O24" s="7"/>
      <c r="U24" s="132"/>
      <c r="V24" s="132"/>
      <c r="W24" s="132">
        <f t="shared" si="0"/>
        <v>29.125147440730576</v>
      </c>
      <c r="X24" s="132">
        <f t="shared" si="0"/>
        <v>-33.282633562698535</v>
      </c>
      <c r="Y24" s="132"/>
      <c r="Z24" s="137"/>
      <c r="AA24" s="136"/>
      <c r="AB24" s="136"/>
      <c r="AC24" s="136"/>
    </row>
    <row r="25" spans="7:29" ht="24.75" customHeight="1" x14ac:dyDescent="0.2">
      <c r="G25" s="5"/>
      <c r="H25" s="141">
        <v>14</v>
      </c>
      <c r="I25" s="141"/>
      <c r="J25" s="6"/>
      <c r="K25" s="6"/>
      <c r="L25" s="6"/>
      <c r="M25" s="6"/>
      <c r="N25" s="6"/>
      <c r="O25" s="7"/>
      <c r="U25" s="132"/>
      <c r="V25" s="132" t="s">
        <v>12</v>
      </c>
      <c r="W25" s="132">
        <f>IF(ISERROR(10*LOG10(10^(W22/10)+10^(W23/10)+10^(W24/10))),"",10*LOG10(10^(W22/10)+10^(W23/10)+10^(W24/10)))</f>
        <v>32.177807453082345</v>
      </c>
      <c r="X25" s="132">
        <f>IF(ISERROR(10*LOG10(10^(X22/10)+10^(X23/10)+10^(X24/10))),"",10*LOG10(10^(X22/10)+10^(X23/10)+10^(X24/10)))</f>
        <v>24.730542845384981</v>
      </c>
      <c r="Y25" s="132">
        <f>IF(ISERROR(10*LOG10(10^(W25/10)+10^(X25/10))),"",10*LOG10(10^(W25/10)+10^(X25/10)))</f>
        <v>32.896629103626992</v>
      </c>
      <c r="Z25" s="137"/>
      <c r="AA25" s="136"/>
      <c r="AB25" s="136"/>
      <c r="AC25" s="136"/>
    </row>
    <row r="26" spans="7:29" x14ac:dyDescent="0.2">
      <c r="G26" s="5"/>
      <c r="H26" s="6"/>
      <c r="I26" s="6"/>
      <c r="J26" s="6"/>
      <c r="K26" s="6"/>
      <c r="L26" s="6"/>
      <c r="M26" s="6"/>
      <c r="N26" s="6"/>
      <c r="O26" s="7"/>
      <c r="U26" s="132"/>
      <c r="V26" s="132"/>
      <c r="W26" s="132" t="s">
        <v>11</v>
      </c>
      <c r="X26" s="132"/>
      <c r="Y26" s="132"/>
      <c r="Z26" s="137"/>
      <c r="AA26" s="136"/>
      <c r="AB26" s="136"/>
      <c r="AC26" s="136"/>
    </row>
    <row r="27" spans="7:29" ht="15.75" x14ac:dyDescent="0.25">
      <c r="G27" s="5"/>
      <c r="H27" s="6"/>
      <c r="I27" s="6"/>
      <c r="J27" s="6"/>
      <c r="K27" s="6"/>
      <c r="L27" s="6"/>
      <c r="M27" s="6"/>
      <c r="N27" s="11" t="s">
        <v>26</v>
      </c>
      <c r="O27" s="7"/>
      <c r="U27" s="132"/>
      <c r="V27" s="132"/>
      <c r="W27" s="132">
        <f t="shared" ref="W27:X29" si="1">IF(ISERROR(W6-11.4*LOG10(W17)-5.8+($I$33/300)),"",W6-11.4*LOG10(W17)-5.8+($I$33/300))</f>
        <v>-33.282633562698535</v>
      </c>
      <c r="X27" s="132">
        <f t="shared" si="1"/>
        <v>-33.282633562698535</v>
      </c>
      <c r="Y27" s="132"/>
      <c r="Z27" s="137"/>
      <c r="AA27" s="136"/>
      <c r="AB27" s="136"/>
      <c r="AC27" s="136"/>
    </row>
    <row r="28" spans="7:29" ht="15.75" customHeight="1" x14ac:dyDescent="0.2">
      <c r="G28" s="5"/>
      <c r="H28" s="72" t="s">
        <v>4</v>
      </c>
      <c r="I28" s="6"/>
      <c r="J28" s="6"/>
      <c r="K28" s="6"/>
      <c r="L28" s="6"/>
      <c r="M28" s="10"/>
      <c r="N28" s="6"/>
      <c r="O28" s="7"/>
      <c r="U28" s="132"/>
      <c r="V28" s="132"/>
      <c r="W28" s="132">
        <f t="shared" si="1"/>
        <v>17.139455923382062</v>
      </c>
      <c r="X28" s="132">
        <f t="shared" si="1"/>
        <v>12.660529120859028</v>
      </c>
      <c r="Y28" s="132"/>
      <c r="Z28" s="137"/>
      <c r="AA28" s="136"/>
      <c r="AB28" s="136"/>
      <c r="AC28" s="136"/>
    </row>
    <row r="29" spans="7:29" ht="24.75" customHeight="1" x14ac:dyDescent="0.2">
      <c r="G29" s="5"/>
      <c r="H29" s="141">
        <v>3.18</v>
      </c>
      <c r="I29" s="13" t="s">
        <v>6</v>
      </c>
      <c r="J29" s="6"/>
      <c r="K29" s="6"/>
      <c r="L29" s="6"/>
      <c r="M29" s="125" t="s">
        <v>66</v>
      </c>
      <c r="N29" s="71">
        <v>1.5</v>
      </c>
      <c r="O29" s="107" t="s">
        <v>27</v>
      </c>
      <c r="U29" s="132"/>
      <c r="V29" s="132"/>
      <c r="W29" s="132">
        <f t="shared" si="1"/>
        <v>17.79514744073056</v>
      </c>
      <c r="X29" s="132">
        <f t="shared" si="1"/>
        <v>-33.282633562698535</v>
      </c>
      <c r="Y29" s="132"/>
      <c r="Z29" s="137"/>
      <c r="AA29" s="136"/>
      <c r="AB29" s="136"/>
      <c r="AC29" s="136"/>
    </row>
    <row r="30" spans="7:29" x14ac:dyDescent="0.2">
      <c r="G30" s="5"/>
      <c r="H30" s="6"/>
      <c r="I30" s="6"/>
      <c r="J30" s="6"/>
      <c r="K30" s="6"/>
      <c r="L30" s="6"/>
      <c r="M30" s="6"/>
      <c r="N30" s="6"/>
      <c r="O30" s="7"/>
      <c r="U30" s="132"/>
      <c r="V30" s="132" t="s">
        <v>12</v>
      </c>
      <c r="W30" s="132">
        <f>IF(ISERROR(10*LOG10(10^(W27/10)+10^(W28/10)+10^(W29/10))),"",10*LOG10(10^(W27/10)+10^(W28/10)+10^(W29/10)))</f>
        <v>20.489982542039407</v>
      </c>
      <c r="X30" s="132">
        <f>IF(ISERROR(10*LOG10(10^(X27/10)+10^(X28/10)+10^(X29/10))),"",10*LOG10(10^(X27/10)+10^(X28/10)+10^(X29/10)))</f>
        <v>12.660750169060741</v>
      </c>
      <c r="Y30" s="132">
        <f>IF(ISERROR(10*LOG10(10^(W30/10)+10^(X30/10))),"",10*LOG10(10^(W30/10)+10^(X30/10)))</f>
        <v>21.152665332819392</v>
      </c>
      <c r="Z30" s="137"/>
      <c r="AA30" s="136"/>
      <c r="AB30" s="136"/>
      <c r="AC30" s="136"/>
    </row>
    <row r="31" spans="7:29" x14ac:dyDescent="0.2">
      <c r="G31" s="5"/>
      <c r="H31" s="6"/>
      <c r="I31" s="6"/>
      <c r="J31" s="6"/>
      <c r="K31" s="6"/>
      <c r="L31" s="6"/>
      <c r="M31" s="6"/>
      <c r="N31" s="6"/>
      <c r="O31" s="7"/>
      <c r="U31" s="132"/>
      <c r="V31" s="132"/>
      <c r="W31" s="132"/>
      <c r="X31" s="132"/>
      <c r="Y31" s="132"/>
      <c r="Z31" s="137"/>
      <c r="AA31" s="136"/>
      <c r="AB31" s="136"/>
      <c r="AC31" s="136"/>
    </row>
    <row r="32" spans="7:29" ht="12.75" customHeight="1" thickBot="1" x14ac:dyDescent="0.25">
      <c r="G32" s="5"/>
      <c r="H32" s="6"/>
      <c r="I32" s="6"/>
      <c r="J32" s="6"/>
      <c r="K32" s="6"/>
      <c r="L32" s="6"/>
      <c r="M32" s="6"/>
      <c r="N32" s="6"/>
      <c r="O32" s="7"/>
      <c r="U32" s="132"/>
      <c r="V32" s="132"/>
      <c r="W32" s="132"/>
      <c r="X32" s="132"/>
      <c r="Y32" s="132"/>
      <c r="Z32" s="137"/>
      <c r="AA32" s="136"/>
      <c r="AB32" s="136"/>
      <c r="AC32" s="136"/>
    </row>
    <row r="33" spans="2:29" ht="24.75" customHeight="1" thickBot="1" x14ac:dyDescent="0.25">
      <c r="G33" s="5"/>
      <c r="H33" s="12"/>
      <c r="I33" s="114">
        <v>82</v>
      </c>
      <c r="J33" s="13" t="s">
        <v>27</v>
      </c>
      <c r="K33" s="112">
        <v>272</v>
      </c>
      <c r="L33" s="110" t="s">
        <v>27</v>
      </c>
      <c r="M33" s="113"/>
      <c r="N33" s="124">
        <v>73</v>
      </c>
      <c r="O33" s="108" t="s">
        <v>27</v>
      </c>
      <c r="U33" s="132"/>
      <c r="V33" s="132" t="s">
        <v>13</v>
      </c>
      <c r="W33" s="132">
        <f>IF(ISERROR(10*LOG10(X33*(10^(Y25/10))+(1-X33)*(10^(Y30/10)))),"",10*LOG10(X33*(10^(Y25/10))+(1-X33)*(10^(Y30/10))))</f>
        <v>23.077400364950531</v>
      </c>
      <c r="X33" s="132">
        <f>IF(R8=1,0.1,IF(R8=2,0.07,IF(R8=3,0.05,0.04)))</f>
        <v>0.04</v>
      </c>
      <c r="Y33" s="132"/>
      <c r="Z33" s="137"/>
      <c r="AA33" s="136"/>
      <c r="AB33" s="136"/>
      <c r="AC33" s="136"/>
    </row>
    <row r="34" spans="2:29" ht="14.1" customHeight="1" x14ac:dyDescent="0.2">
      <c r="G34" s="14"/>
      <c r="H34" s="15"/>
      <c r="I34" s="15"/>
      <c r="J34" s="15"/>
      <c r="K34" s="15"/>
      <c r="L34" s="15"/>
      <c r="M34" s="15"/>
      <c r="N34" s="15"/>
      <c r="O34" s="16"/>
      <c r="U34" s="132"/>
      <c r="V34" s="132"/>
      <c r="W34" s="132"/>
      <c r="X34" s="132"/>
      <c r="Y34" s="132"/>
      <c r="Z34" s="137"/>
      <c r="AA34" s="136"/>
      <c r="AB34" s="136"/>
      <c r="AC34" s="136"/>
    </row>
    <row r="35" spans="2:29" ht="12.75" customHeight="1" x14ac:dyDescent="0.2">
      <c r="U35" s="132"/>
      <c r="V35" s="132"/>
      <c r="W35" s="132"/>
      <c r="X35" s="132"/>
      <c r="Y35" s="132"/>
      <c r="Z35" s="137"/>
      <c r="AA35" s="136"/>
      <c r="AB35" s="136"/>
      <c r="AC35" s="136"/>
    </row>
    <row r="36" spans="2:29" ht="11.1" customHeight="1" x14ac:dyDescent="0.2">
      <c r="U36" s="132"/>
      <c r="V36" s="132"/>
      <c r="W36" s="132"/>
      <c r="X36" s="132"/>
      <c r="Y36" s="132"/>
      <c r="Z36" s="137"/>
      <c r="AA36" s="136"/>
      <c r="AB36" s="136"/>
      <c r="AC36" s="136"/>
    </row>
    <row r="37" spans="2:29" ht="21.75" customHeight="1" x14ac:dyDescent="0.25">
      <c r="B37" s="103" t="s">
        <v>77</v>
      </c>
      <c r="C37" s="122">
        <v>16</v>
      </c>
      <c r="D37" s="4" t="s">
        <v>45</v>
      </c>
      <c r="G37" s="1"/>
      <c r="H37" s="27" t="s">
        <v>84</v>
      </c>
      <c r="I37" s="2"/>
      <c r="J37" s="2"/>
      <c r="K37" s="2"/>
      <c r="L37" s="4"/>
      <c r="U37" s="132"/>
      <c r="V37" s="132"/>
      <c r="W37" s="132"/>
      <c r="X37" s="132"/>
      <c r="Y37" s="132"/>
      <c r="Z37" s="137"/>
      <c r="AA37" s="136"/>
      <c r="AB37" s="136"/>
      <c r="AC37" s="136"/>
    </row>
    <row r="38" spans="2:29" ht="24" customHeight="1" x14ac:dyDescent="0.25">
      <c r="B38" s="32" t="s">
        <v>46</v>
      </c>
      <c r="C38" s="123">
        <v>85</v>
      </c>
      <c r="D38" s="7" t="s">
        <v>47</v>
      </c>
      <c r="G38" s="5"/>
      <c r="H38" s="25" t="s">
        <v>53</v>
      </c>
      <c r="I38" s="25" t="s">
        <v>54</v>
      </c>
      <c r="J38" s="25" t="s">
        <v>55</v>
      </c>
      <c r="K38" s="34" t="s">
        <v>48</v>
      </c>
      <c r="L38" s="7"/>
      <c r="U38" s="132"/>
      <c r="V38" s="132"/>
      <c r="W38" s="132"/>
      <c r="X38" s="132"/>
      <c r="Y38" s="132"/>
      <c r="Z38" s="137"/>
      <c r="AA38" s="136"/>
      <c r="AB38" s="136"/>
      <c r="AC38" s="136"/>
    </row>
    <row r="39" spans="2:29" ht="26.1" customHeight="1" x14ac:dyDescent="0.25">
      <c r="B39" s="33" t="s">
        <v>49</v>
      </c>
      <c r="C39" s="123">
        <v>0</v>
      </c>
      <c r="D39" s="7" t="s">
        <v>70</v>
      </c>
      <c r="G39" s="5"/>
      <c r="H39" s="26">
        <v>43.4</v>
      </c>
      <c r="I39" s="26">
        <v>41.2</v>
      </c>
      <c r="J39" s="26">
        <v>39.9</v>
      </c>
      <c r="K39" s="129">
        <v>46.9</v>
      </c>
      <c r="L39" s="28" t="s">
        <v>22</v>
      </c>
      <c r="U39" s="132"/>
      <c r="V39" s="139">
        <f>IF(ISERROR(10*LOG(1/24*(13*(10^(H39/10))+3*(10^((I39+5)/10))+8*(10^((J39+10)/10))))),"-",10*LOG(1/24*(13*(10^(H39/10))+3*(10^((I39+5)/10))+8*(10^((J39+10)/10)))))</f>
        <v>46.957951728607</v>
      </c>
      <c r="W39" s="132"/>
      <c r="X39" s="132"/>
      <c r="Y39" s="132"/>
      <c r="Z39" s="137"/>
      <c r="AA39" s="136"/>
      <c r="AB39" s="136"/>
      <c r="AC39" s="136"/>
    </row>
    <row r="40" spans="2:29" ht="17.100000000000001" customHeight="1" x14ac:dyDescent="0.2">
      <c r="C40" s="133">
        <f>(C39*3600)/1000</f>
        <v>0</v>
      </c>
      <c r="D40" s="16" t="s">
        <v>83</v>
      </c>
      <c r="G40" s="14"/>
      <c r="H40" s="15"/>
      <c r="I40" s="15"/>
      <c r="J40" s="15"/>
      <c r="K40" s="15"/>
      <c r="L40" s="16"/>
      <c r="U40" s="132"/>
      <c r="V40" s="132"/>
      <c r="W40" s="132"/>
      <c r="X40" s="132"/>
      <c r="Y40" s="132"/>
      <c r="Z40" s="136"/>
      <c r="AA40" s="136"/>
      <c r="AB40" s="136"/>
      <c r="AC40" s="136"/>
    </row>
    <row r="41" spans="2:29" ht="6.75" customHeight="1" x14ac:dyDescent="0.2">
      <c r="U41" s="132"/>
      <c r="V41" s="132"/>
      <c r="W41" s="132"/>
      <c r="X41" s="132"/>
      <c r="Y41" s="132"/>
      <c r="Z41" s="136"/>
      <c r="AA41" s="136"/>
      <c r="AB41" s="136"/>
      <c r="AC41" s="136"/>
    </row>
    <row r="42" spans="2:29" ht="6.75" customHeight="1" x14ac:dyDescent="0.2">
      <c r="U42" s="132"/>
      <c r="V42" s="132"/>
      <c r="W42" s="132"/>
      <c r="X42" s="132"/>
      <c r="Y42" s="132"/>
      <c r="Z42" s="136"/>
      <c r="AA42" s="136"/>
      <c r="AB42" s="136"/>
      <c r="AC42" s="136"/>
    </row>
    <row r="43" spans="2:29" ht="12" customHeight="1" x14ac:dyDescent="0.2">
      <c r="G43" s="35"/>
      <c r="H43" s="62"/>
      <c r="I43" s="62"/>
      <c r="J43" s="62"/>
      <c r="K43" s="62"/>
      <c r="L43" s="36"/>
      <c r="U43" s="132"/>
      <c r="V43" s="132"/>
      <c r="W43" s="132"/>
      <c r="X43" s="132"/>
      <c r="Y43" s="132"/>
      <c r="Z43" s="136"/>
      <c r="AA43" s="136"/>
      <c r="AB43" s="136"/>
      <c r="AC43" s="136"/>
    </row>
    <row r="44" spans="2:29" ht="18" customHeight="1" x14ac:dyDescent="0.2">
      <c r="G44" s="37"/>
      <c r="H44" s="63" t="s">
        <v>23</v>
      </c>
      <c r="I44" s="64"/>
      <c r="J44" s="64"/>
      <c r="K44" s="65"/>
      <c r="L44" s="40"/>
      <c r="U44" s="132"/>
      <c r="V44" s="132"/>
      <c r="W44" s="132"/>
      <c r="X44" s="132"/>
      <c r="Y44" s="132"/>
      <c r="Z44" s="136"/>
      <c r="AA44" s="136"/>
      <c r="AB44" s="136"/>
      <c r="AC44" s="136"/>
    </row>
    <row r="45" spans="2:29" ht="21.95" customHeight="1" x14ac:dyDescent="0.2">
      <c r="G45" s="37"/>
      <c r="H45" s="38" t="s">
        <v>53</v>
      </c>
      <c r="I45" s="38" t="s">
        <v>54</v>
      </c>
      <c r="J45" s="38" t="s">
        <v>55</v>
      </c>
      <c r="K45" s="39" t="s">
        <v>48</v>
      </c>
      <c r="L45" s="40"/>
      <c r="U45" s="132"/>
      <c r="V45" s="132"/>
      <c r="W45" s="132"/>
      <c r="X45" s="132"/>
      <c r="Y45" s="132"/>
      <c r="Z45" s="136"/>
      <c r="AA45" s="136"/>
      <c r="AB45" s="136"/>
      <c r="AC45" s="136"/>
    </row>
    <row r="46" spans="2:29" ht="18.95" customHeight="1" x14ac:dyDescent="0.2">
      <c r="G46" s="102" t="s">
        <v>75</v>
      </c>
      <c r="H46" s="41">
        <f>IF(($Y$25)="","-",IF($Y$25&lt;0,"-",$Y$25))</f>
        <v>32.896629103626992</v>
      </c>
      <c r="I46" s="41">
        <f>IF(($Y$25)="","-",IF($Y$25&lt;0,"-",$Y$25))</f>
        <v>32.896629103626992</v>
      </c>
      <c r="J46" s="41">
        <f>IF(($Y$25)="","-",IF($Y$25&lt;0,"-",$Y$25))</f>
        <v>32.896629103626992</v>
      </c>
      <c r="K46" s="126">
        <f>IF(ISERROR(10*LOG(1/24*(13*(10^(H46/10))+3*(10^((I46+5)/10))+8*(10^((J46+10)/10))))),"-",10*LOG(1/24*(13*(10^(H46/10))+3*(10^((I46+5)/10))+8*(10^((J46+10)/10)))))</f>
        <v>39.201197415430805</v>
      </c>
      <c r="L46" s="42" t="s">
        <v>22</v>
      </c>
      <c r="U46" s="132"/>
      <c r="V46" s="132"/>
      <c r="W46" s="132"/>
      <c r="X46" s="132"/>
      <c r="Y46" s="132"/>
      <c r="Z46" s="136"/>
      <c r="AA46" s="136"/>
      <c r="AB46" s="136"/>
      <c r="AC46" s="136"/>
    </row>
    <row r="47" spans="2:29" ht="6.95" customHeight="1" x14ac:dyDescent="0.2">
      <c r="G47" s="43"/>
      <c r="H47" s="44"/>
      <c r="I47" s="44"/>
      <c r="J47" s="44"/>
      <c r="K47" s="127"/>
      <c r="L47" s="40"/>
      <c r="U47" s="132"/>
      <c r="V47" s="132"/>
      <c r="W47" s="132"/>
      <c r="X47" s="132"/>
      <c r="Y47" s="132"/>
      <c r="Z47" s="136"/>
      <c r="AA47" s="136"/>
      <c r="AB47" s="136"/>
      <c r="AC47" s="136"/>
    </row>
    <row r="48" spans="2:29" ht="14.1" customHeight="1" x14ac:dyDescent="0.2">
      <c r="G48" s="102" t="s">
        <v>76</v>
      </c>
      <c r="H48" s="41">
        <f>IF(($Y$30)="","-",IF($Y$30&lt;0,"-",$Y$30))</f>
        <v>21.152665332819392</v>
      </c>
      <c r="I48" s="41">
        <f>IF(($Y$30)="","-",IF($Y$30&lt;0,"-",$Y$30))</f>
        <v>21.152665332819392</v>
      </c>
      <c r="J48" s="41">
        <f>IF(($Y$30)="","-",IF($Y$30&lt;0,"-",$Y$30))</f>
        <v>21.152665332819392</v>
      </c>
      <c r="K48" s="126">
        <f>IF(ISERROR(10*LOG(1/24*(13*(10^(H48/10))+3*(10^((I48+5)/10))+8*(10^((J48+10)/10))))),"-",10*LOG(1/24*(13*(10^(H48/10))+3*(10^((I48+5)/10))+8*(10^((J48+10)/10)))))</f>
        <v>27.457233644623209</v>
      </c>
      <c r="L48" s="42" t="s">
        <v>22</v>
      </c>
      <c r="U48" s="132"/>
      <c r="V48" s="132"/>
      <c r="W48" s="132"/>
      <c r="X48" s="132"/>
      <c r="Y48" s="132"/>
      <c r="Z48" s="136"/>
      <c r="AA48" s="136"/>
      <c r="AB48" s="136"/>
      <c r="AC48" s="136"/>
    </row>
    <row r="49" spans="7:29" ht="12" customHeight="1" x14ac:dyDescent="0.2">
      <c r="G49" s="37"/>
      <c r="H49" s="44"/>
      <c r="I49" s="44"/>
      <c r="J49" s="44"/>
      <c r="K49" s="127"/>
      <c r="L49" s="40"/>
      <c r="U49" s="132"/>
      <c r="V49" s="132"/>
      <c r="W49" s="132"/>
      <c r="X49" s="132"/>
      <c r="Y49" s="132"/>
      <c r="Z49" s="136"/>
      <c r="AA49" s="136"/>
      <c r="AB49" s="136"/>
      <c r="AC49" s="136"/>
    </row>
    <row r="50" spans="7:29" ht="21.75" customHeight="1" x14ac:dyDescent="0.2">
      <c r="G50" s="66" t="s">
        <v>52</v>
      </c>
      <c r="H50" s="70">
        <f>IF(($W$33)="","-",IF($W$33&lt;0,"-",$W$33))</f>
        <v>23.077400364950531</v>
      </c>
      <c r="I50" s="70">
        <f>IF(($W$33)="","-",IF($W$33&lt;0,"-",$W$33))</f>
        <v>23.077400364950531</v>
      </c>
      <c r="J50" s="70">
        <f>IF(($W$33)="","-",IF($W$33&lt;0,"-",$W$33))</f>
        <v>23.077400364950531</v>
      </c>
      <c r="K50" s="128">
        <f>IF(ISERROR(10*LOG(1/24*(13*(10^(H50/10))+3*(10^((I50+5)/10))+8*(10^((J50+10)/10))))),"-",10*LOG(1/24*(13*(10^(H50/10))+3*(10^((I50+5)/10))+8*(10^((J50+10)/10)))))</f>
        <v>29.381968676754347</v>
      </c>
      <c r="L50" s="42" t="s">
        <v>22</v>
      </c>
      <c r="U50" s="132"/>
      <c r="V50" s="132"/>
      <c r="W50" s="132"/>
      <c r="X50" s="132"/>
      <c r="Y50" s="132"/>
      <c r="Z50" s="136"/>
      <c r="AA50" s="136"/>
      <c r="AB50" s="136"/>
      <c r="AC50" s="136"/>
    </row>
    <row r="51" spans="7:29" x14ac:dyDescent="0.2">
      <c r="G51" s="67"/>
      <c r="H51" s="68"/>
      <c r="I51" s="68"/>
      <c r="J51" s="68"/>
      <c r="K51" s="68"/>
      <c r="L51" s="69"/>
      <c r="U51" s="132"/>
      <c r="V51" s="132"/>
      <c r="W51" s="132"/>
      <c r="X51" s="132"/>
      <c r="Y51" s="132"/>
      <c r="Z51" s="136"/>
      <c r="AA51" s="136"/>
      <c r="AB51" s="136"/>
      <c r="AC51" s="136"/>
    </row>
    <row r="52" spans="7:29" ht="6.75" customHeight="1" x14ac:dyDescent="0.2">
      <c r="U52" s="132"/>
      <c r="V52" s="132"/>
      <c r="W52" s="132"/>
      <c r="X52" s="132"/>
      <c r="Y52" s="132"/>
      <c r="Z52" s="136"/>
      <c r="AA52" s="136"/>
      <c r="AB52" s="136"/>
      <c r="AC52" s="136"/>
    </row>
    <row r="53" spans="7:29" ht="6.75" customHeight="1" x14ac:dyDescent="0.2">
      <c r="U53" s="132"/>
      <c r="V53" s="132"/>
      <c r="W53" s="132"/>
      <c r="X53" s="132"/>
      <c r="Y53" s="132"/>
      <c r="Z53" s="136"/>
      <c r="AA53" s="136"/>
      <c r="AB53" s="136"/>
      <c r="AC53" s="136"/>
    </row>
    <row r="54" spans="7:29" ht="15.75" customHeight="1" x14ac:dyDescent="0.2">
      <c r="G54" s="45"/>
      <c r="H54" s="46"/>
      <c r="I54" s="46"/>
      <c r="J54" s="46"/>
      <c r="K54" s="46"/>
      <c r="L54" s="47"/>
      <c r="U54" s="132"/>
      <c r="V54" s="132"/>
      <c r="W54" s="132"/>
      <c r="X54" s="132"/>
      <c r="Y54" s="132"/>
      <c r="Z54" s="136"/>
      <c r="AA54" s="136"/>
      <c r="AB54" s="136"/>
      <c r="AC54" s="136"/>
    </row>
    <row r="55" spans="7:29" ht="14.1" customHeight="1" x14ac:dyDescent="0.25">
      <c r="G55" s="48"/>
      <c r="H55" s="49" t="s">
        <v>50</v>
      </c>
      <c r="I55" s="50"/>
      <c r="J55" s="50"/>
      <c r="K55" s="51"/>
      <c r="L55" s="52"/>
      <c r="U55" s="132"/>
      <c r="V55" s="132"/>
      <c r="W55" s="132"/>
      <c r="X55" s="132"/>
      <c r="Y55" s="132"/>
      <c r="Z55" s="136"/>
      <c r="AA55" s="136"/>
      <c r="AB55" s="136"/>
      <c r="AC55" s="136"/>
    </row>
    <row r="56" spans="7:29" ht="18.75" customHeight="1" x14ac:dyDescent="0.2">
      <c r="G56" s="48"/>
      <c r="H56" s="53" t="s">
        <v>53</v>
      </c>
      <c r="I56" s="53" t="s">
        <v>54</v>
      </c>
      <c r="J56" s="53" t="s">
        <v>55</v>
      </c>
      <c r="K56" s="54" t="s">
        <v>48</v>
      </c>
      <c r="L56" s="52"/>
      <c r="U56" s="132"/>
      <c r="V56" s="132"/>
      <c r="W56" s="132"/>
      <c r="X56" s="132"/>
      <c r="Y56" s="132"/>
      <c r="Z56" s="136"/>
      <c r="AA56" s="136"/>
      <c r="AB56" s="136"/>
      <c r="AC56" s="136"/>
    </row>
    <row r="57" spans="7:29" ht="29.1" customHeight="1" x14ac:dyDescent="0.2">
      <c r="G57" s="48"/>
      <c r="H57" s="115">
        <f>ROUND(IF(ISERROR(10*LOG10(10^($H$50/10)+10^(H39/10))),H39,10*LOG10(10^($H$50/10)+10^(H39/10))),1)</f>
        <v>43.4</v>
      </c>
      <c r="I57" s="115">
        <f>ROUND(IF(ISERROR(10*LOG10(10^($H$50/10)+10^(I39/10))),I39,10*LOG10(10^($H$50/10)+10^(I39/10))),1)</f>
        <v>41.3</v>
      </c>
      <c r="J57" s="115">
        <f>ROUND(IF(ISERROR(10*LOG10(10^($H$50/10)+10^(J39/10))),J39,10*LOG10(10^($H$50/10)+10^(J39/10))),1)</f>
        <v>40</v>
      </c>
      <c r="K57" s="138">
        <f>IF(V57&lt;7,0,V57)</f>
        <v>47.034285486309543</v>
      </c>
      <c r="L57" s="55" t="s">
        <v>22</v>
      </c>
      <c r="U57" s="132"/>
      <c r="V57" s="140">
        <f>IF(ISERROR(10*LOG(1/24*(13*(10^(H57/10))+3*(10^((I57+5)/10))+8*(10^((J57+10)/10))))),"-",10*LOG(1/24*(13*(10^(H57/10))+3*(10^((I57+5)/10))+8*(10^((J57+10)/10)))))</f>
        <v>47.034285486309543</v>
      </c>
      <c r="W57" s="132"/>
      <c r="X57" s="132"/>
      <c r="Y57" s="132"/>
      <c r="Z57" s="136"/>
      <c r="AA57" s="136"/>
      <c r="AB57" s="136"/>
      <c r="AC57" s="136"/>
    </row>
    <row r="58" spans="7:29" ht="11.1" customHeight="1" x14ac:dyDescent="0.2">
      <c r="G58" s="48"/>
      <c r="H58" s="56"/>
      <c r="I58" s="56"/>
      <c r="J58" s="56"/>
      <c r="K58" s="56"/>
      <c r="L58" s="52"/>
      <c r="U58" s="132"/>
      <c r="V58" s="132"/>
      <c r="W58" s="132"/>
      <c r="X58" s="132"/>
      <c r="Y58" s="132"/>
      <c r="Z58" s="136"/>
      <c r="AA58" s="136"/>
      <c r="AB58" s="136"/>
      <c r="AC58" s="136"/>
    </row>
    <row r="59" spans="7:29" ht="17.100000000000001" customHeight="1" x14ac:dyDescent="0.2">
      <c r="G59" s="57" t="s">
        <v>73</v>
      </c>
      <c r="H59" s="58" t="str">
        <f>IF(H57&lt;=45,"- ",H57-H39)</f>
        <v xml:space="preserve">- </v>
      </c>
      <c r="I59" s="58" t="str">
        <f>IF(I57&lt;=45,"- ",I57-I39)</f>
        <v xml:space="preserve">- </v>
      </c>
      <c r="J59" s="58" t="str">
        <f>IF(J57&lt;=45,"- ",J57-J39)</f>
        <v xml:space="preserve">- </v>
      </c>
      <c r="K59" s="56"/>
      <c r="L59" s="52"/>
      <c r="U59" s="132"/>
      <c r="V59" s="132"/>
      <c r="W59" s="132"/>
      <c r="X59" s="132"/>
      <c r="Y59" s="132"/>
      <c r="Z59" s="136"/>
      <c r="AA59" s="136"/>
      <c r="AB59" s="136"/>
      <c r="AC59" s="136"/>
    </row>
    <row r="60" spans="7:29" ht="14.1" customHeight="1" x14ac:dyDescent="0.2">
      <c r="G60" s="59"/>
      <c r="H60" s="60"/>
      <c r="I60" s="60"/>
      <c r="J60" s="60"/>
      <c r="K60" s="60"/>
      <c r="L60" s="61"/>
      <c r="U60" s="132"/>
      <c r="V60" s="132"/>
      <c r="W60" s="132"/>
      <c r="X60" s="132"/>
      <c r="Y60" s="132"/>
      <c r="Z60" s="136"/>
      <c r="AA60" s="136"/>
      <c r="AB60" s="136"/>
      <c r="AC60" s="136"/>
    </row>
    <row r="61" spans="7:29" x14ac:dyDescent="0.2"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7:29" x14ac:dyDescent="0.2"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7:29" x14ac:dyDescent="0.2">
      <c r="U63" s="136"/>
      <c r="V63" s="136"/>
      <c r="W63" s="136"/>
      <c r="X63" s="136"/>
      <c r="Y63" s="136"/>
      <c r="Z63" s="136"/>
      <c r="AA63" s="136"/>
      <c r="AB63" s="136"/>
      <c r="AC63" s="136"/>
    </row>
    <row r="82" spans="2:7" ht="15" x14ac:dyDescent="0.25">
      <c r="B82" s="29" t="s">
        <v>20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3 para CALB B</v>
      </c>
      <c r="D83" s="145"/>
      <c r="E83" s="145"/>
      <c r="F83" s="145"/>
      <c r="G83" s="149"/>
    </row>
    <row r="84" spans="2:7" ht="15" x14ac:dyDescent="0.25">
      <c r="B84" s="30" t="s">
        <v>5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21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16</v>
      </c>
      <c r="C86" s="150" t="str">
        <f>C9</f>
        <v>Ponto 4 (Apoio DLT)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99" spans="3:7" x14ac:dyDescent="0.2">
      <c r="C99" s="144" t="s">
        <v>78</v>
      </c>
      <c r="D99" s="144" t="s">
        <v>79</v>
      </c>
    </row>
    <row r="100" spans="3:7" x14ac:dyDescent="0.2">
      <c r="C100" s="144"/>
      <c r="D100" s="144"/>
    </row>
    <row r="101" spans="3:7" x14ac:dyDescent="0.2">
      <c r="C101" s="78">
        <f>H13</f>
        <v>0</v>
      </c>
      <c r="D101" s="79">
        <f>I13</f>
        <v>0</v>
      </c>
      <c r="F101" s="100">
        <f>I33</f>
        <v>82</v>
      </c>
      <c r="G101" t="s">
        <v>27</v>
      </c>
    </row>
    <row r="102" spans="3:7" x14ac:dyDescent="0.2">
      <c r="C102" s="80">
        <f>H15</f>
        <v>-7.8</v>
      </c>
      <c r="D102" s="81">
        <f>I15</f>
        <v>7.8</v>
      </c>
    </row>
    <row r="103" spans="3:7" x14ac:dyDescent="0.2">
      <c r="C103" s="82">
        <f>H17</f>
        <v>-7.8</v>
      </c>
      <c r="D103" s="83">
        <f>I17</f>
        <v>0</v>
      </c>
    </row>
    <row r="104" spans="3:7" x14ac:dyDescent="0.2">
      <c r="C104" s="144"/>
      <c r="D104" s="144"/>
    </row>
    <row r="105" spans="3:7" x14ac:dyDescent="0.2">
      <c r="C105" s="78">
        <f>H21</f>
        <v>0</v>
      </c>
      <c r="D105" s="79">
        <f>I21</f>
        <v>0</v>
      </c>
    </row>
    <row r="106" spans="3:7" x14ac:dyDescent="0.2">
      <c r="C106" s="80">
        <f>H23</f>
        <v>22.25</v>
      </c>
      <c r="D106" s="81">
        <f>I23</f>
        <v>22.25</v>
      </c>
      <c r="G106" s="99">
        <f>N29</f>
        <v>1.5</v>
      </c>
    </row>
    <row r="107" spans="3:7" x14ac:dyDescent="0.2">
      <c r="C107" s="82">
        <f>H25</f>
        <v>14</v>
      </c>
      <c r="D107" s="83">
        <f>I25</f>
        <v>0</v>
      </c>
      <c r="G107" s="144"/>
    </row>
    <row r="108" spans="3:7" x14ac:dyDescent="0.2">
      <c r="C108" s="144"/>
      <c r="D108" s="144"/>
      <c r="G108" s="155">
        <f>K33</f>
        <v>272</v>
      </c>
    </row>
    <row r="109" spans="3:7" x14ac:dyDescent="0.2">
      <c r="C109" s="84">
        <f>H29</f>
        <v>3.18</v>
      </c>
      <c r="D109" s="144"/>
      <c r="G109" s="156"/>
    </row>
    <row r="110" spans="3:7" x14ac:dyDescent="0.2">
      <c r="C110" s="144"/>
      <c r="D110" s="144"/>
    </row>
    <row r="112" spans="3:7" x14ac:dyDescent="0.2">
      <c r="C112" s="85">
        <f>L13</f>
        <v>0</v>
      </c>
      <c r="D112" s="86">
        <f>M13</f>
        <v>0</v>
      </c>
      <c r="G112" s="157" t="str">
        <f>IF(R8=1,"Minho",IF(R8=2,"Trás-os-Montes",IF(R8=3,"centro","sul")))</f>
        <v>sul</v>
      </c>
    </row>
    <row r="113" spans="1:7" x14ac:dyDescent="0.2">
      <c r="C113" s="87">
        <f>L15</f>
        <v>16.04</v>
      </c>
      <c r="D113" s="88">
        <f>M15</f>
        <v>14.64</v>
      </c>
      <c r="G113" s="157"/>
    </row>
    <row r="114" spans="1:7" x14ac:dyDescent="0.2">
      <c r="C114" s="89">
        <f>L17</f>
        <v>16.010000000000002</v>
      </c>
      <c r="D114" s="90">
        <f>M17</f>
        <v>0</v>
      </c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53</v>
      </c>
      <c r="D117" s="134" t="s">
        <v>54</v>
      </c>
      <c r="E117" s="134" t="s">
        <v>55</v>
      </c>
      <c r="F117" s="134" t="s">
        <v>48</v>
      </c>
    </row>
    <row r="118" spans="1:7" x14ac:dyDescent="0.2">
      <c r="C118" s="92">
        <f>H39</f>
        <v>43.4</v>
      </c>
      <c r="D118" s="93">
        <f>I39</f>
        <v>41.2</v>
      </c>
      <c r="E118" s="93">
        <f>J39</f>
        <v>39.9</v>
      </c>
      <c r="F118" s="106">
        <f>K39</f>
        <v>46.9</v>
      </c>
      <c r="G118" t="s">
        <v>22</v>
      </c>
    </row>
    <row r="119" spans="1:7" ht="14.1" customHeight="1" x14ac:dyDescent="0.2"/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53</v>
      </c>
      <c r="D125" s="134" t="s">
        <v>54</v>
      </c>
      <c r="E125" s="134" t="s">
        <v>55</v>
      </c>
      <c r="F125" s="134" t="s">
        <v>48</v>
      </c>
    </row>
    <row r="127" spans="1:7" x14ac:dyDescent="0.2">
      <c r="B127" s="97" t="s">
        <v>71</v>
      </c>
      <c r="C127" s="98">
        <f>H46</f>
        <v>32.896629103626992</v>
      </c>
      <c r="D127" s="98">
        <f>I46</f>
        <v>32.896629103626992</v>
      </c>
      <c r="E127" s="98">
        <f>J46</f>
        <v>32.896629103626992</v>
      </c>
      <c r="F127" s="98">
        <f>K46</f>
        <v>39.201197415430805</v>
      </c>
      <c r="G127" s="94" t="s">
        <v>22</v>
      </c>
    </row>
    <row r="128" spans="1:7" x14ac:dyDescent="0.2">
      <c r="B128" s="96" t="s">
        <v>72</v>
      </c>
      <c r="C128" s="77">
        <f>H48</f>
        <v>21.152665332819392</v>
      </c>
      <c r="D128" s="77">
        <f>I48</f>
        <v>21.152665332819392</v>
      </c>
      <c r="E128" s="77">
        <f>J48</f>
        <v>21.152665332819392</v>
      </c>
      <c r="F128" s="77">
        <f>K48</f>
        <v>27.457233644623209</v>
      </c>
      <c r="G128" s="94" t="s">
        <v>22</v>
      </c>
    </row>
    <row r="131" spans="3:7" x14ac:dyDescent="0.2">
      <c r="C131" s="104">
        <f>H50</f>
        <v>23.077400364950531</v>
      </c>
      <c r="D131" s="104">
        <f>I50</f>
        <v>23.077400364950531</v>
      </c>
      <c r="E131" s="104">
        <f>J50</f>
        <v>23.077400364950531</v>
      </c>
      <c r="F131" s="101">
        <f>K50</f>
        <v>29.381968676754347</v>
      </c>
      <c r="G131" s="105" t="s">
        <v>22</v>
      </c>
    </row>
    <row r="132" spans="3:7" x14ac:dyDescent="0.2">
      <c r="C132" s="144"/>
      <c r="D132" s="144"/>
      <c r="E132" s="144"/>
      <c r="F132" s="144"/>
    </row>
    <row r="137" spans="3:7" x14ac:dyDescent="0.2">
      <c r="C137" s="135" t="s">
        <v>53</v>
      </c>
      <c r="D137" s="135" t="s">
        <v>54</v>
      </c>
      <c r="E137" s="135" t="s">
        <v>55</v>
      </c>
      <c r="F137" s="135" t="s">
        <v>48</v>
      </c>
    </row>
    <row r="138" spans="3:7" ht="21" customHeight="1" x14ac:dyDescent="0.2">
      <c r="C138" s="95">
        <f>H57</f>
        <v>43.4</v>
      </c>
      <c r="D138" s="95">
        <f>I57</f>
        <v>41.3</v>
      </c>
      <c r="E138" s="95">
        <f>J57</f>
        <v>40</v>
      </c>
      <c r="F138" s="101">
        <f>K57</f>
        <v>47.034285486309543</v>
      </c>
      <c r="G138" s="105" t="s">
        <v>22</v>
      </c>
    </row>
  </sheetData>
  <mergeCells count="9">
    <mergeCell ref="C88:D88"/>
    <mergeCell ref="G108:G109"/>
    <mergeCell ref="G112:G113"/>
    <mergeCell ref="C4:E4"/>
    <mergeCell ref="C5:D5"/>
    <mergeCell ref="C6:E6"/>
    <mergeCell ref="C7:E7"/>
    <mergeCell ref="C8:E8"/>
    <mergeCell ref="C9:E9"/>
  </mergeCells>
  <pageMargins left="0.75" right="0.75" top="1" bottom="1" header="0.5" footer="0.5"/>
  <pageSetup paperSize="0" scale="96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61" r:id="rId3" name="Lista pendente 288">
              <controlPr defaultSize="0" autoLine="0" autoPict="0">
                <anchor moveWithCells="1">
                  <from>
                    <xdr:col>11</xdr:col>
                    <xdr:colOff>476250</xdr:colOff>
                    <xdr:row>21</xdr:row>
                    <xdr:rowOff>28575</xdr:rowOff>
                  </from>
                  <to>
                    <xdr:col>14</xdr:col>
                    <xdr:colOff>238125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2B203-658F-49F6-AE41-5B4146474FE1}">
  <sheetPr>
    <pageSetUpPr fitToPage="1"/>
  </sheetPr>
  <dimension ref="A2:AC138"/>
  <sheetViews>
    <sheetView showGridLines="0" topLeftCell="A95" zoomScale="85" zoomScaleNormal="85" workbookViewId="0">
      <selection activeCell="A82" sqref="A82:G138"/>
    </sheetView>
  </sheetViews>
  <sheetFormatPr defaultColWidth="11.42578125" defaultRowHeight="12.75" x14ac:dyDescent="0.2"/>
  <cols>
    <col min="1" max="1" width="8.7109375" customWidth="1" collapsed="1"/>
    <col min="2" max="2" width="12.85546875" customWidth="1" collapsed="1"/>
    <col min="3" max="6" width="11.42578125" customWidth="1" collapsed="1"/>
    <col min="7" max="8" width="11.28515625" customWidth="1" collapsed="1"/>
  </cols>
  <sheetData>
    <row r="2" spans="2:29" x14ac:dyDescent="0.2">
      <c r="U2" s="137"/>
      <c r="V2" s="137"/>
      <c r="W2" s="137"/>
      <c r="X2" s="137"/>
      <c r="Y2" s="137"/>
      <c r="Z2" s="137"/>
      <c r="AA2" s="136"/>
      <c r="AB2" s="136"/>
      <c r="AC2" s="136"/>
    </row>
    <row r="3" spans="2:29" x14ac:dyDescent="0.2">
      <c r="S3" s="21" t="s">
        <v>29</v>
      </c>
      <c r="U3" s="132"/>
      <c r="V3" s="132"/>
      <c r="W3" s="132">
        <v>-119.74</v>
      </c>
      <c r="X3" s="132">
        <v>-119.03</v>
      </c>
      <c r="Y3" s="132"/>
      <c r="Z3" s="137"/>
      <c r="AA3" s="136"/>
      <c r="AB3" s="136"/>
      <c r="AC3" s="136"/>
    </row>
    <row r="4" spans="2:29" ht="20.100000000000001" customHeight="1" x14ac:dyDescent="0.25">
      <c r="B4" s="29" t="s">
        <v>2</v>
      </c>
      <c r="C4" s="158" t="s">
        <v>85</v>
      </c>
      <c r="D4" s="159"/>
      <c r="E4" s="160"/>
      <c r="S4" s="21" t="s">
        <v>40</v>
      </c>
      <c r="U4" s="132"/>
      <c r="V4" s="132"/>
      <c r="W4" s="132">
        <v>-120.93</v>
      </c>
      <c r="X4" s="132">
        <v>-121.67</v>
      </c>
      <c r="Y4" s="132"/>
      <c r="Z4" s="137"/>
      <c r="AA4" s="136"/>
      <c r="AB4" s="136"/>
      <c r="AC4" s="136"/>
    </row>
    <row r="5" spans="2:29" ht="18.75" customHeight="1" x14ac:dyDescent="0.25">
      <c r="B5" s="30" t="s">
        <v>20</v>
      </c>
      <c r="C5" s="161" t="s">
        <v>85</v>
      </c>
      <c r="D5" s="161"/>
      <c r="E5" s="24"/>
      <c r="S5" s="21" t="s">
        <v>30</v>
      </c>
      <c r="U5" s="132"/>
      <c r="V5" s="132"/>
      <c r="W5" s="132" t="s">
        <v>7</v>
      </c>
      <c r="X5" s="132"/>
      <c r="Y5" s="132"/>
      <c r="Z5" s="137"/>
      <c r="AA5" s="136"/>
      <c r="AB5" s="136"/>
      <c r="AC5" s="136"/>
    </row>
    <row r="6" spans="2:29" ht="20.100000000000001" customHeight="1" x14ac:dyDescent="0.25">
      <c r="B6" s="30" t="s">
        <v>17</v>
      </c>
      <c r="C6" s="162" t="s">
        <v>87</v>
      </c>
      <c r="D6" s="163"/>
      <c r="E6" s="164"/>
      <c r="S6" s="20" t="s">
        <v>69</v>
      </c>
      <c r="U6" s="132"/>
      <c r="V6" s="132"/>
      <c r="W6" s="132">
        <f>IF(ISERROR($W$4+120*LOG(L13)+55*LOG(H29)),0,$W$4+120*LOG(L13)+55*LOG(H29))</f>
        <v>0</v>
      </c>
      <c r="X6" s="132">
        <f>IF(ISERROR($W$4+120*LOG(M13)+55*LOG(H29)),0,$W$4+120*LOG(M13)+55*LOG(H29))</f>
        <v>0</v>
      </c>
      <c r="Y6" s="132"/>
      <c r="Z6" s="137"/>
      <c r="AA6" s="136"/>
      <c r="AB6" s="136"/>
      <c r="AC6" s="136"/>
    </row>
    <row r="7" spans="2:29" ht="18.75" customHeight="1" x14ac:dyDescent="0.25">
      <c r="B7" s="30" t="s">
        <v>5</v>
      </c>
      <c r="C7" s="162" t="s">
        <v>88</v>
      </c>
      <c r="D7" s="165"/>
      <c r="E7" s="166"/>
      <c r="U7" s="132"/>
      <c r="V7" s="132"/>
      <c r="W7" s="132">
        <f>IF(ISERROR($X$4+120*LOG(L15)+55*LOG(H29)),0,$X$4+120*LOG(L15)+55*LOG(H29))</f>
        <v>50.588015272921155</v>
      </c>
      <c r="X7" s="132">
        <f>IF(ISERROR($X$4+120*LOG(M15)+55*LOG(H29)),0,$X$4+120*LOG(M15)+55*LOG(H29))</f>
        <v>45.828420805828557</v>
      </c>
      <c r="Y7" s="132"/>
      <c r="Z7" s="137"/>
      <c r="AA7" s="136"/>
      <c r="AB7" s="136"/>
      <c r="AC7" s="136"/>
    </row>
    <row r="8" spans="2:29" ht="15.75" customHeight="1" x14ac:dyDescent="0.25">
      <c r="B8" s="30" t="s">
        <v>21</v>
      </c>
      <c r="C8" s="162" t="s">
        <v>86</v>
      </c>
      <c r="D8" s="163"/>
      <c r="E8" s="166"/>
      <c r="R8" s="131">
        <v>4</v>
      </c>
      <c r="U8" s="132"/>
      <c r="V8" s="132"/>
      <c r="W8" s="132">
        <f>IF(ISERROR($W$4+120*LOG(L17)+55*LOG(H29)),0,$W$4+120*LOG(L17)+55*LOG(H29))</f>
        <v>51.230451429459762</v>
      </c>
      <c r="X8" s="132">
        <f>IF(ISERROR($W$4+120*LOG(M17)+55*LOG(H29)),0,$W$4+120*LOG(M17)+55*LOG(H29))</f>
        <v>0</v>
      </c>
      <c r="Y8" s="132"/>
      <c r="Z8" s="137"/>
      <c r="AA8" s="136"/>
      <c r="AB8" s="136"/>
      <c r="AC8" s="136"/>
    </row>
    <row r="9" spans="2:29" ht="17.100000000000001" customHeight="1" x14ac:dyDescent="0.25">
      <c r="B9" s="31" t="s">
        <v>16</v>
      </c>
      <c r="C9" s="167" t="s">
        <v>93</v>
      </c>
      <c r="D9" s="168"/>
      <c r="E9" s="169"/>
      <c r="U9" s="132"/>
      <c r="V9" s="132"/>
      <c r="W9" s="132"/>
      <c r="X9" s="132"/>
      <c r="Y9" s="132"/>
      <c r="Z9" s="137"/>
      <c r="AA9" s="136"/>
      <c r="AB9" s="136"/>
      <c r="AC9" s="136"/>
    </row>
    <row r="10" spans="2:29" ht="20.100000000000001" customHeight="1" x14ac:dyDescent="0.2">
      <c r="U10" s="132"/>
      <c r="V10" s="132"/>
      <c r="W10" s="132" t="s">
        <v>8</v>
      </c>
      <c r="X10" s="132"/>
      <c r="Y10" s="132"/>
      <c r="Z10" s="137"/>
      <c r="AA10" s="136"/>
      <c r="AB10" s="136"/>
      <c r="AC10" s="136"/>
    </row>
    <row r="11" spans="2:29" ht="11.1" customHeight="1" x14ac:dyDescent="0.2">
      <c r="G11" s="1"/>
      <c r="H11" s="2"/>
      <c r="I11" s="2"/>
      <c r="J11" s="2"/>
      <c r="K11" s="2"/>
      <c r="L11" s="2"/>
      <c r="M11" s="2"/>
      <c r="N11" s="2"/>
      <c r="O11" s="4"/>
      <c r="U11" s="132"/>
      <c r="V11" s="132"/>
      <c r="W11" s="132"/>
      <c r="X11" s="132"/>
      <c r="Y11" s="132"/>
      <c r="Z11" s="137"/>
      <c r="AA11" s="136"/>
      <c r="AB11" s="136"/>
      <c r="AC11" s="136"/>
    </row>
    <row r="12" spans="2:29" ht="26.1" customHeight="1" x14ac:dyDescent="0.2">
      <c r="G12" s="5"/>
      <c r="H12" s="72" t="s">
        <v>0</v>
      </c>
      <c r="I12" s="6"/>
      <c r="J12" s="6"/>
      <c r="K12" s="6"/>
      <c r="L12" s="72" t="s">
        <v>1</v>
      </c>
      <c r="M12" s="6"/>
      <c r="N12" s="6"/>
      <c r="O12" s="7"/>
      <c r="U12" s="132"/>
      <c r="V12" s="132"/>
      <c r="W12" s="132">
        <f>IF(ISERROR(-109.6+120*LOG10(L13)+55*LOG10(H29)),0,-109.6+120*LOG10(L13)+55*LOG10(H29))</f>
        <v>0</v>
      </c>
      <c r="X12" s="132">
        <f>IF(ISERROR(-109.6+120*LOG10(M13)+55*LOG10(H29)),0,-109.6+120*LOG10(M13)+55*LOG10(H29))</f>
        <v>0</v>
      </c>
      <c r="Y12" s="132"/>
      <c r="Z12" s="137"/>
      <c r="AA12" s="136"/>
      <c r="AB12" s="136"/>
      <c r="AC12" s="136"/>
    </row>
    <row r="13" spans="2:29" ht="24.75" customHeight="1" x14ac:dyDescent="0.2">
      <c r="G13" s="5"/>
      <c r="H13" s="141"/>
      <c r="I13" s="141"/>
      <c r="J13" s="6"/>
      <c r="K13" s="6"/>
      <c r="L13" s="114"/>
      <c r="M13" s="114"/>
      <c r="N13" s="6"/>
      <c r="O13" s="7"/>
      <c r="U13" s="132"/>
      <c r="V13" s="132"/>
      <c r="W13" s="132">
        <f>IF(ISERROR(-109.6+120*LOG10(L15)+55*LOG10(H29)),0,-109.6+120*LOG10(L15)+55*LOG10(H29))</f>
        <v>62.658015272921162</v>
      </c>
      <c r="X13" s="132">
        <f>IF(ISERROR(-109.6+120*LOG10(M15)+55*LOG10(H29)),0,-109.6+120*LOG10(M15)+55*LOG10(H29))</f>
        <v>57.898420805828565</v>
      </c>
      <c r="Y13" s="132"/>
      <c r="Z13" s="137"/>
      <c r="AA13" s="136"/>
      <c r="AB13" s="136"/>
      <c r="AC13" s="136"/>
    </row>
    <row r="14" spans="2:29" ht="17.100000000000001" customHeight="1" x14ac:dyDescent="0.2">
      <c r="G14" s="5"/>
      <c r="H14" s="73"/>
      <c r="I14" s="73"/>
      <c r="J14" s="6"/>
      <c r="K14" s="6"/>
      <c r="L14" s="74"/>
      <c r="M14" s="74"/>
      <c r="N14" s="6"/>
      <c r="O14" s="7"/>
      <c r="U14" s="132"/>
      <c r="V14" s="132"/>
      <c r="W14" s="132">
        <f>IF(ISERROR(-109.6+120*LOG10(L17)+55*LOG10(H29)),0,-109.6+120*LOG10(L17)+55*LOG10(H29))</f>
        <v>62.560451429459775</v>
      </c>
      <c r="X14" s="132">
        <f>IF(ISERROR(-109.6+120*LOG10(M17)+55*LOG10(H29)),0,-109.6+120*LOG10(M17)+55*LOG10(H29))</f>
        <v>0</v>
      </c>
      <c r="Y14" s="132"/>
      <c r="Z14" s="137"/>
      <c r="AA14" s="136"/>
      <c r="AB14" s="136"/>
      <c r="AC14" s="136"/>
    </row>
    <row r="15" spans="2:29" ht="24.75" customHeight="1" x14ac:dyDescent="0.2">
      <c r="G15" s="5"/>
      <c r="H15" s="141">
        <v>-7.8</v>
      </c>
      <c r="I15" s="141">
        <v>7.8</v>
      </c>
      <c r="J15" s="6"/>
      <c r="K15" s="6"/>
      <c r="L15" s="114">
        <v>16.04</v>
      </c>
      <c r="M15" s="114">
        <v>14.64</v>
      </c>
      <c r="N15" s="6"/>
      <c r="O15" s="7"/>
      <c r="U15" s="132"/>
      <c r="V15" s="132"/>
      <c r="W15" s="132"/>
      <c r="X15" s="132"/>
      <c r="Y15" s="132"/>
      <c r="Z15" s="137"/>
      <c r="AA15" s="136"/>
      <c r="AB15" s="136"/>
      <c r="AC15" s="136"/>
    </row>
    <row r="16" spans="2:29" ht="18" customHeight="1" x14ac:dyDescent="0.2">
      <c r="G16" s="5"/>
      <c r="H16" s="73"/>
      <c r="I16" s="73"/>
      <c r="J16" s="6"/>
      <c r="K16" s="6"/>
      <c r="L16" s="74"/>
      <c r="M16" s="74"/>
      <c r="N16" s="6"/>
      <c r="O16" s="7"/>
      <c r="U16" s="132"/>
      <c r="V16" s="132"/>
      <c r="W16" s="132" t="s">
        <v>9</v>
      </c>
      <c r="X16" s="132"/>
      <c r="Y16" s="132"/>
      <c r="Z16" s="137"/>
      <c r="AA16" s="136"/>
      <c r="AB16" s="136"/>
      <c r="AC16" s="136"/>
    </row>
    <row r="17" spans="7:29" ht="24.75" customHeight="1" x14ac:dyDescent="0.2">
      <c r="G17" s="5"/>
      <c r="H17" s="141">
        <v>-7.8</v>
      </c>
      <c r="I17" s="141"/>
      <c r="J17" s="6"/>
      <c r="K17" s="6"/>
      <c r="L17" s="114">
        <v>16.010000000000002</v>
      </c>
      <c r="M17" s="114"/>
      <c r="N17" s="6"/>
      <c r="O17" s="7"/>
      <c r="U17" s="132"/>
      <c r="V17" s="132"/>
      <c r="W17" s="132">
        <f>SQRT((H13-$K$33)^2+(($H$21+I33)-($N$29+N33))^2)</f>
        <v>411.2216555581673</v>
      </c>
      <c r="X17" s="132">
        <f>SQRT((I13-$K$33)^2+(($I$21+I33)-($N$29+N33))^2)</f>
        <v>411.2216555581673</v>
      </c>
      <c r="Y17" s="132"/>
      <c r="Z17" s="137"/>
      <c r="AA17" s="136"/>
      <c r="AB17" s="136"/>
      <c r="AC17" s="136"/>
    </row>
    <row r="18" spans="7:29" ht="12.75" customHeight="1" x14ac:dyDescent="0.2">
      <c r="G18" s="5"/>
      <c r="H18" s="6"/>
      <c r="I18" s="6"/>
      <c r="J18" s="6"/>
      <c r="K18" s="6"/>
      <c r="L18" s="6"/>
      <c r="M18" s="6"/>
      <c r="N18" s="6"/>
      <c r="O18" s="7"/>
      <c r="U18" s="132"/>
      <c r="V18" s="132"/>
      <c r="W18" s="132">
        <f>SQRT((H15-$K$33)^2+(($H$23+I33)-($N$29+N33))^2)</f>
        <v>418.89139702314253</v>
      </c>
      <c r="X18" s="132">
        <f>SQRT((I15-$K$33)^2+(($I$23+I33)-($N$29+N33))^2)</f>
        <v>403.2949324005944</v>
      </c>
      <c r="Y18" s="132"/>
      <c r="Z18" s="137"/>
      <c r="AA18" s="136"/>
      <c r="AB18" s="136"/>
      <c r="AC18" s="136"/>
    </row>
    <row r="19" spans="7:29" ht="12" customHeight="1" x14ac:dyDescent="0.2">
      <c r="G19" s="5"/>
      <c r="H19" s="6"/>
      <c r="I19" s="6"/>
      <c r="J19" s="6"/>
      <c r="K19" s="6"/>
      <c r="L19" s="6"/>
      <c r="M19" s="6"/>
      <c r="N19" s="6"/>
      <c r="O19" s="7"/>
      <c r="U19" s="132"/>
      <c r="V19" s="132"/>
      <c r="W19" s="132">
        <f>SQRT((H17-$K$33)^2+(($H$25+I33)-($N$29+N33))^2)</f>
        <v>418.80029847171789</v>
      </c>
      <c r="X19" s="132">
        <f>SQRT((I17-$K$33)^2+(($I$25+I33)-($N$29+N33))^2)</f>
        <v>411.2216555581673</v>
      </c>
      <c r="Y19" s="132"/>
      <c r="Z19" s="137"/>
      <c r="AA19" s="136"/>
      <c r="AB19" s="136"/>
      <c r="AC19" s="136"/>
    </row>
    <row r="20" spans="7:29" ht="20.100000000000001" customHeight="1" x14ac:dyDescent="0.2">
      <c r="G20" s="5"/>
      <c r="H20" s="72" t="s">
        <v>3</v>
      </c>
      <c r="I20" s="6"/>
      <c r="J20" s="6"/>
      <c r="K20" s="6"/>
      <c r="L20" s="10"/>
      <c r="M20" s="6"/>
      <c r="N20" s="6"/>
      <c r="O20" s="7"/>
      <c r="U20" s="132"/>
      <c r="V20" s="132"/>
      <c r="W20" s="132"/>
      <c r="X20" s="132"/>
      <c r="Y20" s="132"/>
      <c r="Z20" s="137"/>
      <c r="AA20" s="136"/>
      <c r="AB20" s="136"/>
      <c r="AC20" s="136"/>
    </row>
    <row r="21" spans="7:29" ht="24.75" customHeight="1" x14ac:dyDescent="0.2">
      <c r="G21" s="5"/>
      <c r="H21" s="141"/>
      <c r="I21" s="141"/>
      <c r="J21" s="6"/>
      <c r="K21" s="6"/>
      <c r="L21" s="10"/>
      <c r="M21" s="6"/>
      <c r="N21" s="6"/>
      <c r="O21" s="7"/>
      <c r="U21" s="132"/>
      <c r="V21" s="132"/>
      <c r="W21" s="132" t="s">
        <v>10</v>
      </c>
      <c r="X21" s="132"/>
      <c r="Y21" s="132"/>
      <c r="Z21" s="137"/>
      <c r="AA21" s="136"/>
      <c r="AB21" s="136"/>
      <c r="AC21" s="136"/>
    </row>
    <row r="22" spans="7:29" ht="14.25" x14ac:dyDescent="0.2">
      <c r="G22" s="5"/>
      <c r="H22" s="73"/>
      <c r="I22" s="73"/>
      <c r="J22" s="6"/>
      <c r="K22" s="6"/>
      <c r="L22" s="10"/>
      <c r="M22" s="6"/>
      <c r="N22" s="6"/>
      <c r="O22" s="7"/>
      <c r="U22" s="132"/>
      <c r="V22" s="132"/>
      <c r="W22" s="132">
        <f t="shared" ref="W22:X24" si="0">IF(ISERROR(W12-11.4*LOG10(W17)-5.8+($I$33/300)),"",W12-11.4*LOG10(W17)-5.8+($I$33/300))</f>
        <v>-35.370466140054411</v>
      </c>
      <c r="X22" s="132">
        <f t="shared" si="0"/>
        <v>-35.370466140054411</v>
      </c>
      <c r="Y22" s="132"/>
      <c r="Z22" s="137"/>
      <c r="AA22" s="136"/>
      <c r="AB22" s="136"/>
      <c r="AC22" s="136"/>
    </row>
    <row r="23" spans="7:29" ht="24.75" customHeight="1" x14ac:dyDescent="0.2">
      <c r="G23" s="5"/>
      <c r="H23" s="141">
        <v>22.25</v>
      </c>
      <c r="I23" s="141">
        <v>22.25</v>
      </c>
      <c r="J23" s="6"/>
      <c r="K23" s="6"/>
      <c r="L23" s="111"/>
      <c r="M23" s="6"/>
      <c r="N23" s="6"/>
      <c r="O23" s="7"/>
      <c r="U23" s="132"/>
      <c r="V23" s="132"/>
      <c r="W23" s="132">
        <f t="shared" si="0"/>
        <v>27.196058843978896</v>
      </c>
      <c r="X23" s="132">
        <f t="shared" si="0"/>
        <v>22.624321285764559</v>
      </c>
      <c r="Y23" s="132"/>
      <c r="Z23" s="137"/>
      <c r="AA23" s="136"/>
      <c r="AB23" s="136"/>
      <c r="AC23" s="136"/>
    </row>
    <row r="24" spans="7:29" ht="15" customHeight="1" x14ac:dyDescent="0.2">
      <c r="G24" s="5"/>
      <c r="H24" s="73"/>
      <c r="I24" s="73"/>
      <c r="J24" s="6"/>
      <c r="K24" s="6"/>
      <c r="L24" s="6"/>
      <c r="M24" s="6"/>
      <c r="N24" s="6"/>
      <c r="O24" s="7"/>
      <c r="U24" s="132"/>
      <c r="V24" s="132"/>
      <c r="W24" s="132">
        <f t="shared" si="0"/>
        <v>27.099571828719583</v>
      </c>
      <c r="X24" s="132">
        <f t="shared" si="0"/>
        <v>-35.370466140054411</v>
      </c>
      <c r="Y24" s="132"/>
      <c r="Z24" s="137"/>
      <c r="AA24" s="136"/>
      <c r="AB24" s="136"/>
      <c r="AC24" s="136"/>
    </row>
    <row r="25" spans="7:29" ht="24.75" customHeight="1" x14ac:dyDescent="0.2">
      <c r="G25" s="5"/>
      <c r="H25" s="141">
        <v>14</v>
      </c>
      <c r="I25" s="141"/>
      <c r="J25" s="6"/>
      <c r="K25" s="6"/>
      <c r="L25" s="6"/>
      <c r="M25" s="6"/>
      <c r="N25" s="6"/>
      <c r="O25" s="7"/>
      <c r="U25" s="132"/>
      <c r="V25" s="132" t="s">
        <v>12</v>
      </c>
      <c r="W25" s="132">
        <f>IF(ISERROR(10*LOG10(10^(W22/10)+10^(W23/10)+10^(W24/10))),"",10*LOG10(10^(W22/10)+10^(W23/10)+10^(W24/10)))</f>
        <v>30.158384459357617</v>
      </c>
      <c r="X25" s="132">
        <f>IF(ISERROR(10*LOG10(10^(X22/10)+10^(X23/10)+10^(X24/10))),"",10*LOG10(10^(X22/10)+10^(X23/10)+10^(X24/10)))</f>
        <v>22.624335068482715</v>
      </c>
      <c r="Y25" s="132">
        <f>IF(ISERROR(10*LOG10(10^(W25/10)+10^(X25/10))),"",10*LOG10(10^(W25/10)+10^(X25/10)))</f>
        <v>30.86407930233587</v>
      </c>
      <c r="Z25" s="137"/>
      <c r="AA25" s="136"/>
      <c r="AB25" s="136"/>
      <c r="AC25" s="136"/>
    </row>
    <row r="26" spans="7:29" x14ac:dyDescent="0.2">
      <c r="G26" s="5"/>
      <c r="H26" s="6"/>
      <c r="I26" s="6"/>
      <c r="J26" s="6"/>
      <c r="K26" s="6"/>
      <c r="L26" s="6"/>
      <c r="M26" s="6"/>
      <c r="N26" s="6"/>
      <c r="O26" s="7"/>
      <c r="U26" s="132"/>
      <c r="V26" s="132"/>
      <c r="W26" s="132" t="s">
        <v>11</v>
      </c>
      <c r="X26" s="132"/>
      <c r="Y26" s="132"/>
      <c r="Z26" s="137"/>
      <c r="AA26" s="136"/>
      <c r="AB26" s="136"/>
      <c r="AC26" s="136"/>
    </row>
    <row r="27" spans="7:29" ht="15.75" x14ac:dyDescent="0.25">
      <c r="G27" s="5"/>
      <c r="H27" s="6"/>
      <c r="I27" s="6"/>
      <c r="J27" s="6"/>
      <c r="K27" s="6"/>
      <c r="L27" s="6"/>
      <c r="M27" s="6"/>
      <c r="N27" s="11" t="s">
        <v>26</v>
      </c>
      <c r="O27" s="7"/>
      <c r="U27" s="132"/>
      <c r="V27" s="132"/>
      <c r="W27" s="132">
        <f t="shared" ref="W27:X29" si="1">IF(ISERROR(W6-11.4*LOG10(W17)-5.8+($I$33/300)),"",W6-11.4*LOG10(W17)-5.8+($I$33/300))</f>
        <v>-35.370466140054411</v>
      </c>
      <c r="X27" s="132">
        <f t="shared" si="1"/>
        <v>-35.370466140054411</v>
      </c>
      <c r="Y27" s="132"/>
      <c r="Z27" s="137"/>
      <c r="AA27" s="136"/>
      <c r="AB27" s="136"/>
      <c r="AC27" s="136"/>
    </row>
    <row r="28" spans="7:29" ht="15.75" customHeight="1" x14ac:dyDescent="0.2">
      <c r="G28" s="5"/>
      <c r="H28" s="72" t="s">
        <v>4</v>
      </c>
      <c r="I28" s="6"/>
      <c r="J28" s="6"/>
      <c r="K28" s="6"/>
      <c r="L28" s="6"/>
      <c r="M28" s="10"/>
      <c r="N28" s="6"/>
      <c r="O28" s="7"/>
      <c r="U28" s="132"/>
      <c r="V28" s="132"/>
      <c r="W28" s="132">
        <f t="shared" si="1"/>
        <v>15.126058843978885</v>
      </c>
      <c r="X28" s="132">
        <f t="shared" si="1"/>
        <v>10.554321285764551</v>
      </c>
      <c r="Y28" s="132"/>
      <c r="Z28" s="137"/>
      <c r="AA28" s="136"/>
      <c r="AB28" s="136"/>
      <c r="AC28" s="136"/>
    </row>
    <row r="29" spans="7:29" ht="24.75" customHeight="1" x14ac:dyDescent="0.2">
      <c r="G29" s="5"/>
      <c r="H29" s="141">
        <v>3.18</v>
      </c>
      <c r="I29" s="13" t="s">
        <v>6</v>
      </c>
      <c r="J29" s="6"/>
      <c r="K29" s="6"/>
      <c r="L29" s="6"/>
      <c r="M29" s="125" t="s">
        <v>66</v>
      </c>
      <c r="N29" s="71">
        <v>1.5</v>
      </c>
      <c r="O29" s="107" t="s">
        <v>27</v>
      </c>
      <c r="U29" s="132"/>
      <c r="V29" s="132"/>
      <c r="W29" s="132">
        <f t="shared" si="1"/>
        <v>15.76957182871957</v>
      </c>
      <c r="X29" s="132">
        <f t="shared" si="1"/>
        <v>-35.370466140054411</v>
      </c>
      <c r="Y29" s="132"/>
      <c r="Z29" s="137"/>
      <c r="AA29" s="136"/>
      <c r="AB29" s="136"/>
      <c r="AC29" s="136"/>
    </row>
    <row r="30" spans="7:29" x14ac:dyDescent="0.2">
      <c r="G30" s="5"/>
      <c r="H30" s="6"/>
      <c r="I30" s="6"/>
      <c r="J30" s="6"/>
      <c r="K30" s="6"/>
      <c r="L30" s="6"/>
      <c r="M30" s="6"/>
      <c r="N30" s="6"/>
      <c r="O30" s="7"/>
      <c r="U30" s="132"/>
      <c r="V30" s="132" t="s">
        <v>12</v>
      </c>
      <c r="W30" s="132">
        <f>IF(ISERROR(10*LOG10(10^(W27/10)+10^(W28/10)+10^(W29/10))),"",10*LOG10(10^(W27/10)+10^(W28/10)+10^(W29/10)))</f>
        <v>18.470041355579447</v>
      </c>
      <c r="X30" s="132">
        <f>IF(ISERROR(10*LOG10(10^(X27/10)+10^(X28/10)+10^(X29/10))),"",10*LOG10(10^(X27/10)+10^(X28/10)+10^(X29/10)))</f>
        <v>10.554543271191775</v>
      </c>
      <c r="Y30" s="132">
        <f>IF(ISERROR(10*LOG10(10^(W30/10)+10^(X30/10))),"",10*LOG10(10^(W30/10)+10^(X30/10)))</f>
        <v>19.120619680533618</v>
      </c>
      <c r="Z30" s="137"/>
      <c r="AA30" s="136"/>
      <c r="AB30" s="136"/>
      <c r="AC30" s="136"/>
    </row>
    <row r="31" spans="7:29" x14ac:dyDescent="0.2">
      <c r="G31" s="5"/>
      <c r="H31" s="6"/>
      <c r="I31" s="6"/>
      <c r="J31" s="6"/>
      <c r="K31" s="6"/>
      <c r="L31" s="6"/>
      <c r="M31" s="6"/>
      <c r="N31" s="6"/>
      <c r="O31" s="7"/>
      <c r="U31" s="132"/>
      <c r="V31" s="132"/>
      <c r="W31" s="132"/>
      <c r="X31" s="132"/>
      <c r="Y31" s="132"/>
      <c r="Z31" s="137"/>
      <c r="AA31" s="136"/>
      <c r="AB31" s="136"/>
      <c r="AC31" s="136"/>
    </row>
    <row r="32" spans="7:29" ht="12.75" customHeight="1" thickBot="1" x14ac:dyDescent="0.25">
      <c r="G32" s="5"/>
      <c r="H32" s="6"/>
      <c r="I32" s="6"/>
      <c r="J32" s="6"/>
      <c r="K32" s="6"/>
      <c r="L32" s="6"/>
      <c r="M32" s="6"/>
      <c r="N32" s="6"/>
      <c r="O32" s="7"/>
      <c r="U32" s="132"/>
      <c r="V32" s="132"/>
      <c r="W32" s="132"/>
      <c r="X32" s="132"/>
      <c r="Y32" s="132"/>
      <c r="Z32" s="137"/>
      <c r="AA32" s="136"/>
      <c r="AB32" s="136"/>
      <c r="AC32" s="136"/>
    </row>
    <row r="33" spans="2:29" ht="24.75" customHeight="1" thickBot="1" x14ac:dyDescent="0.25">
      <c r="G33" s="5"/>
      <c r="H33" s="12"/>
      <c r="I33" s="114">
        <v>69</v>
      </c>
      <c r="J33" s="13" t="s">
        <v>27</v>
      </c>
      <c r="K33" s="112">
        <v>411</v>
      </c>
      <c r="L33" s="110" t="s">
        <v>27</v>
      </c>
      <c r="M33" s="113"/>
      <c r="N33" s="124">
        <v>81</v>
      </c>
      <c r="O33" s="108" t="s">
        <v>27</v>
      </c>
      <c r="U33" s="132"/>
      <c r="V33" s="132" t="s">
        <v>13</v>
      </c>
      <c r="W33" s="132">
        <f>IF(ISERROR(10*LOG10(X33*(10^(Y25/10))+(1-X33)*(10^(Y30/10)))),"",10*LOG10(X33*(10^(Y25/10))+(1-X33)*(10^(Y30/10))))</f>
        <v>21.045161281590303</v>
      </c>
      <c r="X33" s="132">
        <f>IF(R8=1,0.1,IF(R8=2,0.07,IF(R8=3,0.05,0.04)))</f>
        <v>0.04</v>
      </c>
      <c r="Y33" s="132"/>
      <c r="Z33" s="137"/>
      <c r="AA33" s="136"/>
      <c r="AB33" s="136"/>
      <c r="AC33" s="136"/>
    </row>
    <row r="34" spans="2:29" ht="14.1" customHeight="1" x14ac:dyDescent="0.2">
      <c r="G34" s="14"/>
      <c r="H34" s="15"/>
      <c r="I34" s="15"/>
      <c r="J34" s="15"/>
      <c r="K34" s="15"/>
      <c r="L34" s="15"/>
      <c r="M34" s="15"/>
      <c r="N34" s="15"/>
      <c r="O34" s="16"/>
      <c r="U34" s="132"/>
      <c r="V34" s="132"/>
      <c r="W34" s="132"/>
      <c r="X34" s="132"/>
      <c r="Y34" s="132"/>
      <c r="Z34" s="137"/>
      <c r="AA34" s="136"/>
      <c r="AB34" s="136"/>
      <c r="AC34" s="136"/>
    </row>
    <row r="35" spans="2:29" ht="12.75" customHeight="1" x14ac:dyDescent="0.2">
      <c r="U35" s="132"/>
      <c r="V35" s="132"/>
      <c r="W35" s="132"/>
      <c r="X35" s="132"/>
      <c r="Y35" s="132"/>
      <c r="Z35" s="137"/>
      <c r="AA35" s="136"/>
      <c r="AB35" s="136"/>
      <c r="AC35" s="136"/>
    </row>
    <row r="36" spans="2:29" ht="11.1" customHeight="1" x14ac:dyDescent="0.2">
      <c r="U36" s="132"/>
      <c r="V36" s="132"/>
      <c r="W36" s="132"/>
      <c r="X36" s="132"/>
      <c r="Y36" s="132"/>
      <c r="Z36" s="137"/>
      <c r="AA36" s="136"/>
      <c r="AB36" s="136"/>
      <c r="AC36" s="136"/>
    </row>
    <row r="37" spans="2:29" ht="21.75" customHeight="1" x14ac:dyDescent="0.25">
      <c r="B37" s="103" t="s">
        <v>77</v>
      </c>
      <c r="C37" s="122">
        <v>16</v>
      </c>
      <c r="D37" s="4" t="s">
        <v>45</v>
      </c>
      <c r="G37" s="1"/>
      <c r="H37" s="27" t="s">
        <v>84</v>
      </c>
      <c r="I37" s="2"/>
      <c r="J37" s="2"/>
      <c r="K37" s="2"/>
      <c r="L37" s="4"/>
      <c r="U37" s="132"/>
      <c r="V37" s="132"/>
      <c r="W37" s="132"/>
      <c r="X37" s="132"/>
      <c r="Y37" s="132"/>
      <c r="Z37" s="137"/>
      <c r="AA37" s="136"/>
      <c r="AB37" s="136"/>
      <c r="AC37" s="136"/>
    </row>
    <row r="38" spans="2:29" ht="24" customHeight="1" x14ac:dyDescent="0.25">
      <c r="B38" s="32" t="s">
        <v>46</v>
      </c>
      <c r="C38" s="123">
        <v>85</v>
      </c>
      <c r="D38" s="7" t="s">
        <v>47</v>
      </c>
      <c r="G38" s="5"/>
      <c r="H38" s="25" t="s">
        <v>53</v>
      </c>
      <c r="I38" s="25" t="s">
        <v>54</v>
      </c>
      <c r="J38" s="25" t="s">
        <v>55</v>
      </c>
      <c r="K38" s="34" t="s">
        <v>48</v>
      </c>
      <c r="L38" s="7"/>
      <c r="U38" s="132"/>
      <c r="V38" s="132"/>
      <c r="W38" s="132"/>
      <c r="X38" s="132"/>
      <c r="Y38" s="132"/>
      <c r="Z38" s="137"/>
      <c r="AA38" s="136"/>
      <c r="AB38" s="136"/>
      <c r="AC38" s="136"/>
    </row>
    <row r="39" spans="2:29" ht="26.1" customHeight="1" x14ac:dyDescent="0.25">
      <c r="B39" s="33" t="s">
        <v>49</v>
      </c>
      <c r="C39" s="123">
        <v>0</v>
      </c>
      <c r="D39" s="7" t="s">
        <v>70</v>
      </c>
      <c r="G39" s="5"/>
      <c r="H39" s="26">
        <v>43</v>
      </c>
      <c r="I39" s="26">
        <v>40.200000000000003</v>
      </c>
      <c r="J39" s="26">
        <v>39.299999999999997</v>
      </c>
      <c r="K39" s="129">
        <v>46.4</v>
      </c>
      <c r="L39" s="28" t="s">
        <v>22</v>
      </c>
      <c r="U39" s="132"/>
      <c r="V39" s="139">
        <f>IF(ISERROR(10*LOG(1/24*(13*(10^(H39/10))+3*(10^((I39+5)/10))+8*(10^((J39+10)/10))))),"-",10*LOG(1/24*(13*(10^(H39/10))+3*(10^((I39+5)/10))+8*(10^((J39+10)/10)))))</f>
        <v>46.366691772756596</v>
      </c>
      <c r="W39" s="132"/>
      <c r="X39" s="132"/>
      <c r="Y39" s="132"/>
      <c r="Z39" s="137"/>
      <c r="AA39" s="136"/>
      <c r="AB39" s="136"/>
      <c r="AC39" s="136"/>
    </row>
    <row r="40" spans="2:29" ht="17.100000000000001" customHeight="1" x14ac:dyDescent="0.2">
      <c r="C40" s="133">
        <f>(C39*3600)/1000</f>
        <v>0</v>
      </c>
      <c r="D40" s="16" t="s">
        <v>83</v>
      </c>
      <c r="G40" s="14"/>
      <c r="H40" s="15"/>
      <c r="I40" s="15"/>
      <c r="J40" s="15"/>
      <c r="K40" s="15"/>
      <c r="L40" s="16"/>
      <c r="U40" s="132"/>
      <c r="V40" s="132"/>
      <c r="W40" s="132"/>
      <c r="X40" s="132"/>
      <c r="Y40" s="132"/>
      <c r="Z40" s="136"/>
      <c r="AA40" s="136"/>
      <c r="AB40" s="136"/>
      <c r="AC40" s="136"/>
    </row>
    <row r="41" spans="2:29" ht="6.75" customHeight="1" x14ac:dyDescent="0.2">
      <c r="U41" s="132"/>
      <c r="V41" s="132"/>
      <c r="W41" s="132"/>
      <c r="X41" s="132"/>
      <c r="Y41" s="132"/>
      <c r="Z41" s="136"/>
      <c r="AA41" s="136"/>
      <c r="AB41" s="136"/>
      <c r="AC41" s="136"/>
    </row>
    <row r="42" spans="2:29" ht="6.75" customHeight="1" x14ac:dyDescent="0.2">
      <c r="U42" s="132"/>
      <c r="V42" s="132"/>
      <c r="W42" s="132"/>
      <c r="X42" s="132"/>
      <c r="Y42" s="132"/>
      <c r="Z42" s="136"/>
      <c r="AA42" s="136"/>
      <c r="AB42" s="136"/>
      <c r="AC42" s="136"/>
    </row>
    <row r="43" spans="2:29" ht="12" customHeight="1" x14ac:dyDescent="0.2">
      <c r="G43" s="35"/>
      <c r="H43" s="62"/>
      <c r="I43" s="62"/>
      <c r="J43" s="62"/>
      <c r="K43" s="62"/>
      <c r="L43" s="36"/>
      <c r="U43" s="132"/>
      <c r="V43" s="132"/>
      <c r="W43" s="132"/>
      <c r="X43" s="132"/>
      <c r="Y43" s="132"/>
      <c r="Z43" s="136"/>
      <c r="AA43" s="136"/>
      <c r="AB43" s="136"/>
      <c r="AC43" s="136"/>
    </row>
    <row r="44" spans="2:29" ht="18" customHeight="1" x14ac:dyDescent="0.2">
      <c r="G44" s="37"/>
      <c r="H44" s="63" t="s">
        <v>23</v>
      </c>
      <c r="I44" s="64"/>
      <c r="J44" s="64"/>
      <c r="K44" s="65"/>
      <c r="L44" s="40"/>
      <c r="U44" s="132"/>
      <c r="V44" s="132"/>
      <c r="W44" s="132"/>
      <c r="X44" s="132"/>
      <c r="Y44" s="132"/>
      <c r="Z44" s="136"/>
      <c r="AA44" s="136"/>
      <c r="AB44" s="136"/>
      <c r="AC44" s="136"/>
    </row>
    <row r="45" spans="2:29" ht="21.95" customHeight="1" x14ac:dyDescent="0.2">
      <c r="G45" s="37"/>
      <c r="H45" s="38" t="s">
        <v>53</v>
      </c>
      <c r="I45" s="38" t="s">
        <v>54</v>
      </c>
      <c r="J45" s="38" t="s">
        <v>55</v>
      </c>
      <c r="K45" s="39" t="s">
        <v>48</v>
      </c>
      <c r="L45" s="40"/>
      <c r="U45" s="132"/>
      <c r="V45" s="132"/>
      <c r="W45" s="132"/>
      <c r="X45" s="132"/>
      <c r="Y45" s="132"/>
      <c r="Z45" s="136"/>
      <c r="AA45" s="136"/>
      <c r="AB45" s="136"/>
      <c r="AC45" s="136"/>
    </row>
    <row r="46" spans="2:29" ht="18.95" customHeight="1" x14ac:dyDescent="0.2">
      <c r="G46" s="102" t="s">
        <v>75</v>
      </c>
      <c r="H46" s="41">
        <f>IF(($Y$25)="","-",IF($Y$25&lt;0,"-",$Y$25))</f>
        <v>30.86407930233587</v>
      </c>
      <c r="I46" s="41">
        <f>IF(($Y$25)="","-",IF($Y$25&lt;0,"-",$Y$25))</f>
        <v>30.86407930233587</v>
      </c>
      <c r="J46" s="41">
        <f>IF(($Y$25)="","-",IF($Y$25&lt;0,"-",$Y$25))</f>
        <v>30.86407930233587</v>
      </c>
      <c r="K46" s="126">
        <f>IF(ISERROR(10*LOG(1/24*(13*(10^(H46/10))+3*(10^((I46+5)/10))+8*(10^((J46+10)/10))))),"-",10*LOG(1/24*(13*(10^(H46/10))+3*(10^((I46+5)/10))+8*(10^((J46+10)/10)))))</f>
        <v>37.16864761413968</v>
      </c>
      <c r="L46" s="42" t="s">
        <v>22</v>
      </c>
      <c r="U46" s="132"/>
      <c r="V46" s="132"/>
      <c r="W46" s="132"/>
      <c r="X46" s="132"/>
      <c r="Y46" s="132"/>
      <c r="Z46" s="136"/>
      <c r="AA46" s="136"/>
      <c r="AB46" s="136"/>
      <c r="AC46" s="136"/>
    </row>
    <row r="47" spans="2:29" ht="6.95" customHeight="1" x14ac:dyDescent="0.2">
      <c r="G47" s="43"/>
      <c r="H47" s="44"/>
      <c r="I47" s="44"/>
      <c r="J47" s="44"/>
      <c r="K47" s="127"/>
      <c r="L47" s="40"/>
      <c r="U47" s="132"/>
      <c r="V47" s="132"/>
      <c r="W47" s="132"/>
      <c r="X47" s="132"/>
      <c r="Y47" s="132"/>
      <c r="Z47" s="136"/>
      <c r="AA47" s="136"/>
      <c r="AB47" s="136"/>
      <c r="AC47" s="136"/>
    </row>
    <row r="48" spans="2:29" ht="14.1" customHeight="1" x14ac:dyDescent="0.2">
      <c r="G48" s="102" t="s">
        <v>76</v>
      </c>
      <c r="H48" s="41">
        <f>IF(($Y$30)="","-",IF($Y$30&lt;0,"-",$Y$30))</f>
        <v>19.120619680533618</v>
      </c>
      <c r="I48" s="41">
        <f>IF(($Y$30)="","-",IF($Y$30&lt;0,"-",$Y$30))</f>
        <v>19.120619680533618</v>
      </c>
      <c r="J48" s="41">
        <f>IF(($Y$30)="","-",IF($Y$30&lt;0,"-",$Y$30))</f>
        <v>19.120619680533618</v>
      </c>
      <c r="K48" s="126">
        <f>IF(ISERROR(10*LOG(1/24*(13*(10^(H48/10))+3*(10^((I48+5)/10))+8*(10^((J48+10)/10))))),"-",10*LOG(1/24*(13*(10^(H48/10))+3*(10^((I48+5)/10))+8*(10^((J48+10)/10)))))</f>
        <v>25.425187992337435</v>
      </c>
      <c r="L48" s="42" t="s">
        <v>22</v>
      </c>
      <c r="U48" s="132"/>
      <c r="V48" s="132"/>
      <c r="W48" s="132"/>
      <c r="X48" s="132"/>
      <c r="Y48" s="132"/>
      <c r="Z48" s="136"/>
      <c r="AA48" s="136"/>
      <c r="AB48" s="136"/>
      <c r="AC48" s="136"/>
    </row>
    <row r="49" spans="7:29" ht="12" customHeight="1" x14ac:dyDescent="0.2">
      <c r="G49" s="37"/>
      <c r="H49" s="44"/>
      <c r="I49" s="44"/>
      <c r="J49" s="44"/>
      <c r="K49" s="127"/>
      <c r="L49" s="40"/>
      <c r="U49" s="132"/>
      <c r="V49" s="132"/>
      <c r="W49" s="132"/>
      <c r="X49" s="132"/>
      <c r="Y49" s="132"/>
      <c r="Z49" s="136"/>
      <c r="AA49" s="136"/>
      <c r="AB49" s="136"/>
      <c r="AC49" s="136"/>
    </row>
    <row r="50" spans="7:29" ht="21.75" customHeight="1" x14ac:dyDescent="0.2">
      <c r="G50" s="66" t="s">
        <v>52</v>
      </c>
      <c r="H50" s="70">
        <f>IF(($W$33)="","-",IF($W$33&lt;0,"-",$W$33))</f>
        <v>21.045161281590303</v>
      </c>
      <c r="I50" s="70">
        <f>IF(($W$33)="","-",IF($W$33&lt;0,"-",$W$33))</f>
        <v>21.045161281590303</v>
      </c>
      <c r="J50" s="70">
        <f>IF(($W$33)="","-",IF($W$33&lt;0,"-",$W$33))</f>
        <v>21.045161281590303</v>
      </c>
      <c r="K50" s="128">
        <f>IF(ISERROR(10*LOG(1/24*(13*(10^(H50/10))+3*(10^((I50+5)/10))+8*(10^((J50+10)/10))))),"-",10*LOG(1/24*(13*(10^(H50/10))+3*(10^((I50+5)/10))+8*(10^((J50+10)/10)))))</f>
        <v>27.349729593394116</v>
      </c>
      <c r="L50" s="42" t="s">
        <v>22</v>
      </c>
      <c r="U50" s="132"/>
      <c r="V50" s="132"/>
      <c r="W50" s="132"/>
      <c r="X50" s="132"/>
      <c r="Y50" s="132"/>
      <c r="Z50" s="136"/>
      <c r="AA50" s="136"/>
      <c r="AB50" s="136"/>
      <c r="AC50" s="136"/>
    </row>
    <row r="51" spans="7:29" x14ac:dyDescent="0.2">
      <c r="G51" s="67"/>
      <c r="H51" s="68"/>
      <c r="I51" s="68"/>
      <c r="J51" s="68"/>
      <c r="K51" s="68"/>
      <c r="L51" s="69"/>
      <c r="U51" s="132"/>
      <c r="V51" s="132"/>
      <c r="W51" s="132"/>
      <c r="X51" s="132"/>
      <c r="Y51" s="132"/>
      <c r="Z51" s="136"/>
      <c r="AA51" s="136"/>
      <c r="AB51" s="136"/>
      <c r="AC51" s="136"/>
    </row>
    <row r="52" spans="7:29" ht="6.75" customHeight="1" x14ac:dyDescent="0.2">
      <c r="U52" s="132"/>
      <c r="V52" s="132"/>
      <c r="W52" s="132"/>
      <c r="X52" s="132"/>
      <c r="Y52" s="132"/>
      <c r="Z52" s="136"/>
      <c r="AA52" s="136"/>
      <c r="AB52" s="136"/>
      <c r="AC52" s="136"/>
    </row>
    <row r="53" spans="7:29" ht="6.75" customHeight="1" x14ac:dyDescent="0.2">
      <c r="U53" s="132"/>
      <c r="V53" s="132"/>
      <c r="W53" s="132"/>
      <c r="X53" s="132"/>
      <c r="Y53" s="132"/>
      <c r="Z53" s="136"/>
      <c r="AA53" s="136"/>
      <c r="AB53" s="136"/>
      <c r="AC53" s="136"/>
    </row>
    <row r="54" spans="7:29" ht="15.75" customHeight="1" x14ac:dyDescent="0.2">
      <c r="G54" s="45"/>
      <c r="H54" s="46"/>
      <c r="I54" s="46"/>
      <c r="J54" s="46"/>
      <c r="K54" s="46"/>
      <c r="L54" s="47"/>
      <c r="U54" s="132"/>
      <c r="V54" s="132"/>
      <c r="W54" s="132"/>
      <c r="X54" s="132"/>
      <c r="Y54" s="132"/>
      <c r="Z54" s="136"/>
      <c r="AA54" s="136"/>
      <c r="AB54" s="136"/>
      <c r="AC54" s="136"/>
    </row>
    <row r="55" spans="7:29" ht="14.1" customHeight="1" x14ac:dyDescent="0.25">
      <c r="G55" s="48"/>
      <c r="H55" s="49" t="s">
        <v>50</v>
      </c>
      <c r="I55" s="50"/>
      <c r="J55" s="50"/>
      <c r="K55" s="51"/>
      <c r="L55" s="52"/>
      <c r="U55" s="132"/>
      <c r="V55" s="132"/>
      <c r="W55" s="132"/>
      <c r="X55" s="132"/>
      <c r="Y55" s="132"/>
      <c r="Z55" s="136"/>
      <c r="AA55" s="136"/>
      <c r="AB55" s="136"/>
      <c r="AC55" s="136"/>
    </row>
    <row r="56" spans="7:29" ht="18.75" customHeight="1" x14ac:dyDescent="0.2">
      <c r="G56" s="48"/>
      <c r="H56" s="53" t="s">
        <v>53</v>
      </c>
      <c r="I56" s="53" t="s">
        <v>54</v>
      </c>
      <c r="J56" s="53" t="s">
        <v>55</v>
      </c>
      <c r="K56" s="54" t="s">
        <v>48</v>
      </c>
      <c r="L56" s="52"/>
      <c r="U56" s="132"/>
      <c r="V56" s="132"/>
      <c r="W56" s="132"/>
      <c r="X56" s="132"/>
      <c r="Y56" s="132"/>
      <c r="Z56" s="136"/>
      <c r="AA56" s="136"/>
      <c r="AB56" s="136"/>
      <c r="AC56" s="136"/>
    </row>
    <row r="57" spans="7:29" ht="29.1" customHeight="1" x14ac:dyDescent="0.2">
      <c r="G57" s="48"/>
      <c r="H57" s="115">
        <f>ROUND(IF(ISERROR(10*LOG10(10^($H$50/10)+10^(H39/10))),H39,10*LOG10(10^($H$50/10)+10^(H39/10))),1)</f>
        <v>43</v>
      </c>
      <c r="I57" s="115">
        <f>ROUND(IF(ISERROR(10*LOG10(10^($H$50/10)+10^(I39/10))),I39,10*LOG10(10^($H$50/10)+10^(I39/10))),1)</f>
        <v>40.299999999999997</v>
      </c>
      <c r="J57" s="115">
        <f>ROUND(IF(ISERROR(10*LOG10(10^($H$50/10)+10^(J39/10))),J39,10*LOG10(10^($H$50/10)+10^(J39/10))),1)</f>
        <v>39.4</v>
      </c>
      <c r="K57" s="138">
        <f>IF(V57&lt;7,0,V57)</f>
        <v>46.441956956918347</v>
      </c>
      <c r="L57" s="55" t="s">
        <v>22</v>
      </c>
      <c r="U57" s="132"/>
      <c r="V57" s="140">
        <f>IF(ISERROR(10*LOG(1/24*(13*(10^(H57/10))+3*(10^((I57+5)/10))+8*(10^((J57+10)/10))))),"-",10*LOG(1/24*(13*(10^(H57/10))+3*(10^((I57+5)/10))+8*(10^((J57+10)/10)))))</f>
        <v>46.441956956918347</v>
      </c>
      <c r="W57" s="132"/>
      <c r="X57" s="132"/>
      <c r="Y57" s="132"/>
      <c r="Z57" s="136"/>
      <c r="AA57" s="136"/>
      <c r="AB57" s="136"/>
      <c r="AC57" s="136"/>
    </row>
    <row r="58" spans="7:29" ht="11.1" customHeight="1" x14ac:dyDescent="0.2">
      <c r="G58" s="48"/>
      <c r="H58" s="56"/>
      <c r="I58" s="56"/>
      <c r="J58" s="56"/>
      <c r="K58" s="56"/>
      <c r="L58" s="52"/>
      <c r="U58" s="132"/>
      <c r="V58" s="132"/>
      <c r="W58" s="132"/>
      <c r="X58" s="132"/>
      <c r="Y58" s="132"/>
      <c r="Z58" s="136"/>
      <c r="AA58" s="136"/>
      <c r="AB58" s="136"/>
      <c r="AC58" s="136"/>
    </row>
    <row r="59" spans="7:29" ht="17.100000000000001" customHeight="1" x14ac:dyDescent="0.2">
      <c r="G59" s="57" t="s">
        <v>73</v>
      </c>
      <c r="H59" s="58" t="str">
        <f>IF(H57&lt;=45,"- ",H57-H39)</f>
        <v xml:space="preserve">- </v>
      </c>
      <c r="I59" s="58" t="str">
        <f>IF(I57&lt;=45,"- ",I57-I39)</f>
        <v xml:space="preserve">- </v>
      </c>
      <c r="J59" s="58" t="str">
        <f>IF(J57&lt;=45,"- ",J57-J39)</f>
        <v xml:space="preserve">- </v>
      </c>
      <c r="K59" s="56"/>
      <c r="L59" s="52"/>
      <c r="U59" s="132"/>
      <c r="V59" s="132"/>
      <c r="W59" s="132"/>
      <c r="X59" s="132"/>
      <c r="Y59" s="132"/>
      <c r="Z59" s="136"/>
      <c r="AA59" s="136"/>
      <c r="AB59" s="136"/>
      <c r="AC59" s="136"/>
    </row>
    <row r="60" spans="7:29" ht="14.1" customHeight="1" x14ac:dyDescent="0.2">
      <c r="G60" s="59"/>
      <c r="H60" s="60"/>
      <c r="I60" s="60"/>
      <c r="J60" s="60"/>
      <c r="K60" s="60"/>
      <c r="L60" s="61"/>
      <c r="U60" s="132"/>
      <c r="V60" s="132"/>
      <c r="W60" s="132"/>
      <c r="X60" s="132"/>
      <c r="Y60" s="132"/>
      <c r="Z60" s="136"/>
      <c r="AA60" s="136"/>
      <c r="AB60" s="136"/>
      <c r="AC60" s="136"/>
    </row>
    <row r="61" spans="7:29" x14ac:dyDescent="0.2"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7:29" x14ac:dyDescent="0.2"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7:29" x14ac:dyDescent="0.2">
      <c r="U63" s="136"/>
      <c r="V63" s="136"/>
      <c r="W63" s="136"/>
      <c r="X63" s="136"/>
      <c r="Y63" s="136"/>
      <c r="Z63" s="136"/>
      <c r="AA63" s="136"/>
      <c r="AB63" s="136"/>
      <c r="AC63" s="136"/>
    </row>
    <row r="82" spans="2:7" ht="15" x14ac:dyDescent="0.25">
      <c r="B82" s="29" t="s">
        <v>20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2 para CALB A</v>
      </c>
      <c r="D83" s="145"/>
      <c r="E83" s="145"/>
      <c r="F83" s="145"/>
      <c r="G83" s="149"/>
    </row>
    <row r="84" spans="2:7" ht="15" x14ac:dyDescent="0.25">
      <c r="B84" s="30" t="s">
        <v>5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21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16</v>
      </c>
      <c r="C86" s="150" t="str">
        <f>C9</f>
        <v>Ponto 5 (Apoio DLT)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99" spans="3:7" x14ac:dyDescent="0.2">
      <c r="C99" s="144" t="s">
        <v>78</v>
      </c>
      <c r="D99" s="144" t="s">
        <v>79</v>
      </c>
    </row>
    <row r="100" spans="3:7" x14ac:dyDescent="0.2">
      <c r="C100" s="144"/>
      <c r="D100" s="144"/>
    </row>
    <row r="101" spans="3:7" x14ac:dyDescent="0.2">
      <c r="C101" s="78">
        <f>H13</f>
        <v>0</v>
      </c>
      <c r="D101" s="79">
        <f>I13</f>
        <v>0</v>
      </c>
      <c r="F101" s="100">
        <f>I33</f>
        <v>69</v>
      </c>
      <c r="G101" t="s">
        <v>27</v>
      </c>
    </row>
    <row r="102" spans="3:7" x14ac:dyDescent="0.2">
      <c r="C102" s="80">
        <f>H15</f>
        <v>-7.8</v>
      </c>
      <c r="D102" s="81">
        <f>I15</f>
        <v>7.8</v>
      </c>
    </row>
    <row r="103" spans="3:7" x14ac:dyDescent="0.2">
      <c r="C103" s="82">
        <f>H17</f>
        <v>-7.8</v>
      </c>
      <c r="D103" s="83">
        <f>I17</f>
        <v>0</v>
      </c>
    </row>
    <row r="104" spans="3:7" x14ac:dyDescent="0.2">
      <c r="C104" s="144"/>
      <c r="D104" s="144"/>
    </row>
    <row r="105" spans="3:7" x14ac:dyDescent="0.2">
      <c r="C105" s="78">
        <f>H21</f>
        <v>0</v>
      </c>
      <c r="D105" s="79">
        <f>I21</f>
        <v>0</v>
      </c>
    </row>
    <row r="106" spans="3:7" x14ac:dyDescent="0.2">
      <c r="C106" s="80">
        <f>H23</f>
        <v>22.25</v>
      </c>
      <c r="D106" s="81">
        <f>I23</f>
        <v>22.25</v>
      </c>
      <c r="G106" s="99">
        <f>N29</f>
        <v>1.5</v>
      </c>
    </row>
    <row r="107" spans="3:7" x14ac:dyDescent="0.2">
      <c r="C107" s="82">
        <f>H25</f>
        <v>14</v>
      </c>
      <c r="D107" s="83">
        <f>I25</f>
        <v>0</v>
      </c>
      <c r="G107" s="144"/>
    </row>
    <row r="108" spans="3:7" x14ac:dyDescent="0.2">
      <c r="C108" s="144"/>
      <c r="D108" s="144"/>
      <c r="G108" s="155">
        <f>K33</f>
        <v>411</v>
      </c>
    </row>
    <row r="109" spans="3:7" x14ac:dyDescent="0.2">
      <c r="C109" s="84">
        <f>H29</f>
        <v>3.18</v>
      </c>
      <c r="D109" s="144"/>
      <c r="G109" s="156"/>
    </row>
    <row r="110" spans="3:7" x14ac:dyDescent="0.2">
      <c r="C110" s="144"/>
      <c r="D110" s="144"/>
    </row>
    <row r="112" spans="3:7" x14ac:dyDescent="0.2">
      <c r="C112" s="85">
        <f>L13</f>
        <v>0</v>
      </c>
      <c r="D112" s="86">
        <f>M13</f>
        <v>0</v>
      </c>
      <c r="G112" s="157" t="str">
        <f>IF(R8=1,"Minho",IF(R8=2,"Trás-os-Montes",IF(R8=3,"centro","sul")))</f>
        <v>sul</v>
      </c>
    </row>
    <row r="113" spans="1:7" x14ac:dyDescent="0.2">
      <c r="C113" s="87">
        <f>L15</f>
        <v>16.04</v>
      </c>
      <c r="D113" s="88">
        <f>M15</f>
        <v>14.64</v>
      </c>
      <c r="G113" s="157"/>
    </row>
    <row r="114" spans="1:7" x14ac:dyDescent="0.2">
      <c r="C114" s="89">
        <f>L17</f>
        <v>16.010000000000002</v>
      </c>
      <c r="D114" s="90">
        <f>M17</f>
        <v>0</v>
      </c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53</v>
      </c>
      <c r="D117" s="134" t="s">
        <v>54</v>
      </c>
      <c r="E117" s="134" t="s">
        <v>55</v>
      </c>
      <c r="F117" s="134" t="s">
        <v>48</v>
      </c>
    </row>
    <row r="118" spans="1:7" x14ac:dyDescent="0.2">
      <c r="C118" s="92">
        <f>H39</f>
        <v>43</v>
      </c>
      <c r="D118" s="93">
        <f>I39</f>
        <v>40.200000000000003</v>
      </c>
      <c r="E118" s="93">
        <f>J39</f>
        <v>39.299999999999997</v>
      </c>
      <c r="F118" s="106">
        <f>K39</f>
        <v>46.4</v>
      </c>
      <c r="G118" t="s">
        <v>22</v>
      </c>
    </row>
    <row r="119" spans="1:7" ht="14.1" customHeight="1" x14ac:dyDescent="0.2"/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53</v>
      </c>
      <c r="D125" s="134" t="s">
        <v>54</v>
      </c>
      <c r="E125" s="134" t="s">
        <v>55</v>
      </c>
      <c r="F125" s="134" t="s">
        <v>48</v>
      </c>
    </row>
    <row r="127" spans="1:7" x14ac:dyDescent="0.2">
      <c r="B127" s="97" t="s">
        <v>71</v>
      </c>
      <c r="C127" s="98">
        <f>H46</f>
        <v>30.86407930233587</v>
      </c>
      <c r="D127" s="98">
        <f>I46</f>
        <v>30.86407930233587</v>
      </c>
      <c r="E127" s="98">
        <f>J46</f>
        <v>30.86407930233587</v>
      </c>
      <c r="F127" s="98">
        <f>K46</f>
        <v>37.16864761413968</v>
      </c>
      <c r="G127" s="94" t="s">
        <v>22</v>
      </c>
    </row>
    <row r="128" spans="1:7" x14ac:dyDescent="0.2">
      <c r="B128" s="96" t="s">
        <v>72</v>
      </c>
      <c r="C128" s="77">
        <f>H48</f>
        <v>19.120619680533618</v>
      </c>
      <c r="D128" s="77">
        <f>I48</f>
        <v>19.120619680533618</v>
      </c>
      <c r="E128" s="77">
        <f>J48</f>
        <v>19.120619680533618</v>
      </c>
      <c r="F128" s="77">
        <f>K48</f>
        <v>25.425187992337435</v>
      </c>
      <c r="G128" s="94" t="s">
        <v>22</v>
      </c>
    </row>
    <row r="131" spans="3:7" x14ac:dyDescent="0.2">
      <c r="C131" s="104">
        <f>H50</f>
        <v>21.045161281590303</v>
      </c>
      <c r="D131" s="104">
        <f>I50</f>
        <v>21.045161281590303</v>
      </c>
      <c r="E131" s="104">
        <f>J50</f>
        <v>21.045161281590303</v>
      </c>
      <c r="F131" s="101">
        <f>K50</f>
        <v>27.349729593394116</v>
      </c>
      <c r="G131" s="105" t="s">
        <v>22</v>
      </c>
    </row>
    <row r="132" spans="3:7" x14ac:dyDescent="0.2">
      <c r="C132" s="144"/>
      <c r="D132" s="144"/>
      <c r="E132" s="144"/>
      <c r="F132" s="144"/>
    </row>
    <row r="137" spans="3:7" x14ac:dyDescent="0.2">
      <c r="C137" s="135" t="s">
        <v>53</v>
      </c>
      <c r="D137" s="135" t="s">
        <v>54</v>
      </c>
      <c r="E137" s="135" t="s">
        <v>55</v>
      </c>
      <c r="F137" s="135" t="s">
        <v>48</v>
      </c>
    </row>
    <row r="138" spans="3:7" ht="21" customHeight="1" x14ac:dyDescent="0.2">
      <c r="C138" s="95">
        <f>H57</f>
        <v>43</v>
      </c>
      <c r="D138" s="95">
        <f>I57</f>
        <v>40.299999999999997</v>
      </c>
      <c r="E138" s="95">
        <f>J57</f>
        <v>39.4</v>
      </c>
      <c r="F138" s="101">
        <f>K57</f>
        <v>46.441956956918347</v>
      </c>
      <c r="G138" s="105" t="s">
        <v>22</v>
      </c>
    </row>
  </sheetData>
  <mergeCells count="9">
    <mergeCell ref="C88:D88"/>
    <mergeCell ref="G108:G109"/>
    <mergeCell ref="G112:G113"/>
    <mergeCell ref="C4:E4"/>
    <mergeCell ref="C5:D5"/>
    <mergeCell ref="C6:E6"/>
    <mergeCell ref="C7:E7"/>
    <mergeCell ref="C8:E8"/>
    <mergeCell ref="C9:E9"/>
  </mergeCells>
  <pageMargins left="0.75" right="0.75" top="1" bottom="1" header="0.5" footer="0.5"/>
  <pageSetup paperSize="0" scale="96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3" r:id="rId3" name="Lista pendente 288">
              <controlPr defaultSize="0" autoLine="0" autoPict="0">
                <anchor moveWithCells="1">
                  <from>
                    <xdr:col>11</xdr:col>
                    <xdr:colOff>476250</xdr:colOff>
                    <xdr:row>21</xdr:row>
                    <xdr:rowOff>28575</xdr:rowOff>
                  </from>
                  <to>
                    <xdr:col>14</xdr:col>
                    <xdr:colOff>238125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23422-98FF-4742-8041-A6556EC3B8EE}">
  <sheetPr>
    <pageSetUpPr fitToPage="1"/>
  </sheetPr>
  <dimension ref="A2:AC138"/>
  <sheetViews>
    <sheetView showGridLines="0" tabSelected="1" topLeftCell="A79" zoomScale="85" zoomScaleNormal="85" workbookViewId="0">
      <selection activeCell="A82" sqref="A82:G138"/>
    </sheetView>
  </sheetViews>
  <sheetFormatPr defaultColWidth="11.42578125" defaultRowHeight="12.75" x14ac:dyDescent="0.2"/>
  <cols>
    <col min="1" max="1" width="8.7109375" customWidth="1" collapsed="1"/>
    <col min="2" max="2" width="12.85546875" customWidth="1" collapsed="1"/>
    <col min="3" max="6" width="11.42578125" customWidth="1" collapsed="1"/>
    <col min="7" max="8" width="11.28515625" customWidth="1" collapsed="1"/>
  </cols>
  <sheetData>
    <row r="2" spans="2:29" x14ac:dyDescent="0.2">
      <c r="U2" s="137"/>
      <c r="V2" s="137"/>
      <c r="W2" s="137"/>
      <c r="X2" s="137"/>
      <c r="Y2" s="137"/>
      <c r="Z2" s="137"/>
      <c r="AA2" s="136"/>
      <c r="AB2" s="136"/>
      <c r="AC2" s="136"/>
    </row>
    <row r="3" spans="2:29" x14ac:dyDescent="0.2">
      <c r="S3" s="21" t="s">
        <v>29</v>
      </c>
      <c r="U3" s="132"/>
      <c r="V3" s="132"/>
      <c r="W3" s="132">
        <v>-119.74</v>
      </c>
      <c r="X3" s="132">
        <v>-119.03</v>
      </c>
      <c r="Y3" s="132"/>
      <c r="Z3" s="137"/>
      <c r="AA3" s="136"/>
      <c r="AB3" s="136"/>
      <c r="AC3" s="136"/>
    </row>
    <row r="4" spans="2:29" ht="20.100000000000001" customHeight="1" x14ac:dyDescent="0.25">
      <c r="B4" s="29" t="s">
        <v>2</v>
      </c>
      <c r="C4" s="158" t="s">
        <v>85</v>
      </c>
      <c r="D4" s="159"/>
      <c r="E4" s="160"/>
      <c r="S4" s="21" t="s">
        <v>40</v>
      </c>
      <c r="U4" s="132"/>
      <c r="V4" s="132"/>
      <c r="W4" s="132">
        <v>-120.93</v>
      </c>
      <c r="X4" s="132">
        <v>-121.67</v>
      </c>
      <c r="Y4" s="132"/>
      <c r="Z4" s="137"/>
      <c r="AA4" s="136"/>
      <c r="AB4" s="136"/>
      <c r="AC4" s="136"/>
    </row>
    <row r="5" spans="2:29" ht="18.75" customHeight="1" x14ac:dyDescent="0.25">
      <c r="B5" s="30" t="s">
        <v>20</v>
      </c>
      <c r="C5" s="161" t="s">
        <v>85</v>
      </c>
      <c r="D5" s="161"/>
      <c r="E5" s="24"/>
      <c r="S5" s="21" t="s">
        <v>30</v>
      </c>
      <c r="U5" s="132"/>
      <c r="V5" s="132"/>
      <c r="W5" s="132" t="s">
        <v>7</v>
      </c>
      <c r="X5" s="132"/>
      <c r="Y5" s="132"/>
      <c r="Z5" s="137"/>
      <c r="AA5" s="136"/>
      <c r="AB5" s="136"/>
      <c r="AC5" s="136"/>
    </row>
    <row r="6" spans="2:29" ht="20.100000000000001" customHeight="1" x14ac:dyDescent="0.25">
      <c r="B6" s="30" t="s">
        <v>17</v>
      </c>
      <c r="C6" s="162" t="s">
        <v>89</v>
      </c>
      <c r="D6" s="163"/>
      <c r="E6" s="164"/>
      <c r="S6" s="20" t="s">
        <v>69</v>
      </c>
      <c r="U6" s="132"/>
      <c r="V6" s="132"/>
      <c r="W6" s="132">
        <f>IF(ISERROR($W$4+120*LOG(L13)+55*LOG(H29)),0,$W$4+120*LOG(L13)+55*LOG(H29))</f>
        <v>0</v>
      </c>
      <c r="X6" s="132">
        <f>IF(ISERROR($W$4+120*LOG(M13)+55*LOG(H29)),0,$W$4+120*LOG(M13)+55*LOG(H29))</f>
        <v>0</v>
      </c>
      <c r="Y6" s="132"/>
      <c r="Z6" s="137"/>
      <c r="AA6" s="136"/>
      <c r="AB6" s="136"/>
      <c r="AC6" s="136"/>
    </row>
    <row r="7" spans="2:29" ht="18.75" customHeight="1" x14ac:dyDescent="0.25">
      <c r="B7" s="30" t="s">
        <v>5</v>
      </c>
      <c r="C7" s="162" t="s">
        <v>88</v>
      </c>
      <c r="D7" s="165"/>
      <c r="E7" s="166"/>
      <c r="U7" s="132"/>
      <c r="V7" s="132"/>
      <c r="W7" s="132">
        <f>IF(ISERROR($X$4+120*LOG(L15)+55*LOG(H29)),0,$X$4+120*LOG(L15)+55*LOG(H29))</f>
        <v>50.588015272921155</v>
      </c>
      <c r="X7" s="132">
        <f>IF(ISERROR($X$4+120*LOG(M15)+55*LOG(H29)),0,$X$4+120*LOG(M15)+55*LOG(H29))</f>
        <v>45.828420805828557</v>
      </c>
      <c r="Y7" s="132"/>
      <c r="Z7" s="137"/>
      <c r="AA7" s="136"/>
      <c r="AB7" s="136"/>
      <c r="AC7" s="136"/>
    </row>
    <row r="8" spans="2:29" ht="15.75" customHeight="1" x14ac:dyDescent="0.25">
      <c r="B8" s="30" t="s">
        <v>21</v>
      </c>
      <c r="C8" s="162" t="s">
        <v>86</v>
      </c>
      <c r="D8" s="163"/>
      <c r="E8" s="166"/>
      <c r="R8" s="131">
        <v>4</v>
      </c>
      <c r="U8" s="132"/>
      <c r="V8" s="132"/>
      <c r="W8" s="132">
        <f>IF(ISERROR($W$4+120*LOG(L17)+55*LOG(H29)),0,$W$4+120*LOG(L17)+55*LOG(H29))</f>
        <v>51.230451429459762</v>
      </c>
      <c r="X8" s="132">
        <f>IF(ISERROR($W$4+120*LOG(M17)+55*LOG(H29)),0,$W$4+120*LOG(M17)+55*LOG(H29))</f>
        <v>0</v>
      </c>
      <c r="Y8" s="132"/>
      <c r="Z8" s="137"/>
      <c r="AA8" s="136"/>
      <c r="AB8" s="136"/>
      <c r="AC8" s="136"/>
    </row>
    <row r="9" spans="2:29" ht="17.100000000000001" customHeight="1" x14ac:dyDescent="0.25">
      <c r="B9" s="31" t="s">
        <v>16</v>
      </c>
      <c r="C9" s="167" t="s">
        <v>93</v>
      </c>
      <c r="D9" s="168"/>
      <c r="E9" s="169"/>
      <c r="U9" s="132"/>
      <c r="V9" s="132"/>
      <c r="W9" s="132"/>
      <c r="X9" s="132"/>
      <c r="Y9" s="132"/>
      <c r="Z9" s="137"/>
      <c r="AA9" s="136"/>
      <c r="AB9" s="136"/>
      <c r="AC9" s="136"/>
    </row>
    <row r="10" spans="2:29" ht="20.100000000000001" customHeight="1" x14ac:dyDescent="0.2">
      <c r="U10" s="132"/>
      <c r="V10" s="132"/>
      <c r="W10" s="132" t="s">
        <v>8</v>
      </c>
      <c r="X10" s="132"/>
      <c r="Y10" s="132"/>
      <c r="Z10" s="137"/>
      <c r="AA10" s="136"/>
      <c r="AB10" s="136"/>
      <c r="AC10" s="136"/>
    </row>
    <row r="11" spans="2:29" ht="11.1" customHeight="1" x14ac:dyDescent="0.2">
      <c r="G11" s="1"/>
      <c r="H11" s="2"/>
      <c r="I11" s="2"/>
      <c r="J11" s="2"/>
      <c r="K11" s="2"/>
      <c r="L11" s="2"/>
      <c r="M11" s="2"/>
      <c r="N11" s="2"/>
      <c r="O11" s="4"/>
      <c r="U11" s="132"/>
      <c r="V11" s="132"/>
      <c r="W11" s="132"/>
      <c r="X11" s="132"/>
      <c r="Y11" s="132"/>
      <c r="Z11" s="137"/>
      <c r="AA11" s="136"/>
      <c r="AB11" s="136"/>
      <c r="AC11" s="136"/>
    </row>
    <row r="12" spans="2:29" ht="26.1" customHeight="1" x14ac:dyDescent="0.2">
      <c r="G12" s="5"/>
      <c r="H12" s="72" t="s">
        <v>0</v>
      </c>
      <c r="I12" s="6"/>
      <c r="J12" s="6"/>
      <c r="K12" s="6"/>
      <c r="L12" s="72" t="s">
        <v>1</v>
      </c>
      <c r="M12" s="6"/>
      <c r="N12" s="6"/>
      <c r="O12" s="7"/>
      <c r="U12" s="132"/>
      <c r="V12" s="132"/>
      <c r="W12" s="132">
        <f>IF(ISERROR(-109.6+120*LOG10(L13)+55*LOG10(H29)),0,-109.6+120*LOG10(L13)+55*LOG10(H29))</f>
        <v>0</v>
      </c>
      <c r="X12" s="132">
        <f>IF(ISERROR(-109.6+120*LOG10(M13)+55*LOG10(H29)),0,-109.6+120*LOG10(M13)+55*LOG10(H29))</f>
        <v>0</v>
      </c>
      <c r="Y12" s="132"/>
      <c r="Z12" s="137"/>
      <c r="AA12" s="136"/>
      <c r="AB12" s="136"/>
      <c r="AC12" s="136"/>
    </row>
    <row r="13" spans="2:29" ht="24.75" customHeight="1" x14ac:dyDescent="0.2">
      <c r="G13" s="5"/>
      <c r="H13" s="141"/>
      <c r="I13" s="141"/>
      <c r="J13" s="6"/>
      <c r="K13" s="6"/>
      <c r="L13" s="114"/>
      <c r="M13" s="114"/>
      <c r="N13" s="6"/>
      <c r="O13" s="7"/>
      <c r="U13" s="132"/>
      <c r="V13" s="132"/>
      <c r="W13" s="132">
        <f>IF(ISERROR(-109.6+120*LOG10(L15)+55*LOG10(H29)),0,-109.6+120*LOG10(L15)+55*LOG10(H29))</f>
        <v>62.658015272921162</v>
      </c>
      <c r="X13" s="132">
        <f>IF(ISERROR(-109.6+120*LOG10(M15)+55*LOG10(H29)),0,-109.6+120*LOG10(M15)+55*LOG10(H29))</f>
        <v>57.898420805828565</v>
      </c>
      <c r="Y13" s="132"/>
      <c r="Z13" s="137"/>
      <c r="AA13" s="136"/>
      <c r="AB13" s="136"/>
      <c r="AC13" s="136"/>
    </row>
    <row r="14" spans="2:29" ht="17.100000000000001" customHeight="1" x14ac:dyDescent="0.2">
      <c r="G14" s="5"/>
      <c r="H14" s="73"/>
      <c r="I14" s="73"/>
      <c r="J14" s="6"/>
      <c r="K14" s="6"/>
      <c r="L14" s="74"/>
      <c r="M14" s="74"/>
      <c r="N14" s="6"/>
      <c r="O14" s="7"/>
      <c r="U14" s="132"/>
      <c r="V14" s="132"/>
      <c r="W14" s="132">
        <f>IF(ISERROR(-109.6+120*LOG10(L17)+55*LOG10(H29)),0,-109.6+120*LOG10(L17)+55*LOG10(H29))</f>
        <v>62.560451429459775</v>
      </c>
      <c r="X14" s="132">
        <f>IF(ISERROR(-109.6+120*LOG10(M17)+55*LOG10(H29)),0,-109.6+120*LOG10(M17)+55*LOG10(H29))</f>
        <v>0</v>
      </c>
      <c r="Y14" s="132"/>
      <c r="Z14" s="137"/>
      <c r="AA14" s="136"/>
      <c r="AB14" s="136"/>
      <c r="AC14" s="136"/>
    </row>
    <row r="15" spans="2:29" ht="24.75" customHeight="1" x14ac:dyDescent="0.2">
      <c r="G15" s="5"/>
      <c r="H15" s="141">
        <v>-7.8</v>
      </c>
      <c r="I15" s="141">
        <v>7.8</v>
      </c>
      <c r="J15" s="6"/>
      <c r="K15" s="6"/>
      <c r="L15" s="114">
        <v>16.04</v>
      </c>
      <c r="M15" s="114">
        <v>14.64</v>
      </c>
      <c r="N15" s="6"/>
      <c r="O15" s="7"/>
      <c r="U15" s="132"/>
      <c r="V15" s="132"/>
      <c r="W15" s="132"/>
      <c r="X15" s="132"/>
      <c r="Y15" s="132"/>
      <c r="Z15" s="137"/>
      <c r="AA15" s="136"/>
      <c r="AB15" s="136"/>
      <c r="AC15" s="136"/>
    </row>
    <row r="16" spans="2:29" ht="18" customHeight="1" x14ac:dyDescent="0.2">
      <c r="G16" s="5"/>
      <c r="H16" s="73"/>
      <c r="I16" s="73"/>
      <c r="J16" s="6"/>
      <c r="K16" s="6"/>
      <c r="L16" s="74"/>
      <c r="M16" s="74"/>
      <c r="N16" s="6"/>
      <c r="O16" s="7"/>
      <c r="U16" s="132"/>
      <c r="V16" s="132"/>
      <c r="W16" s="132" t="s">
        <v>9</v>
      </c>
      <c r="X16" s="132"/>
      <c r="Y16" s="132"/>
      <c r="Z16" s="137"/>
      <c r="AA16" s="136"/>
      <c r="AB16" s="136"/>
      <c r="AC16" s="136"/>
    </row>
    <row r="17" spans="7:29" ht="24.75" customHeight="1" x14ac:dyDescent="0.2">
      <c r="G17" s="5"/>
      <c r="H17" s="141">
        <v>-7.8</v>
      </c>
      <c r="I17" s="141"/>
      <c r="J17" s="6"/>
      <c r="K17" s="6"/>
      <c r="L17" s="114">
        <v>16.010000000000002</v>
      </c>
      <c r="M17" s="114"/>
      <c r="N17" s="6"/>
      <c r="O17" s="7"/>
      <c r="U17" s="132"/>
      <c r="V17" s="132"/>
      <c r="W17" s="132">
        <f>SQRT((H13-$K$33)^2+(($H$21+I33)-($N$29+N33))^2)</f>
        <v>451.0800926664798</v>
      </c>
      <c r="X17" s="132">
        <f>SQRT((I13-$K$33)^2+(($I$21+I33)-($N$29+N33))^2)</f>
        <v>451.0800926664798</v>
      </c>
      <c r="Y17" s="132"/>
      <c r="Z17" s="137"/>
      <c r="AA17" s="136"/>
      <c r="AB17" s="136"/>
      <c r="AC17" s="136"/>
    </row>
    <row r="18" spans="7:29" ht="12.75" customHeight="1" x14ac:dyDescent="0.2">
      <c r="G18" s="5"/>
      <c r="H18" s="6"/>
      <c r="I18" s="6"/>
      <c r="J18" s="6"/>
      <c r="K18" s="6"/>
      <c r="L18" s="6"/>
      <c r="M18" s="6"/>
      <c r="N18" s="6"/>
      <c r="O18" s="7"/>
      <c r="U18" s="132"/>
      <c r="V18" s="132"/>
      <c r="W18" s="132">
        <f>SQRT((H15-$K$33)^2+(($H$23+I33)-($N$29+N33))^2)</f>
        <v>459.00599396957773</v>
      </c>
      <c r="X18" s="132">
        <f>SQRT((I15-$K$33)^2+(($I$23+I33)-($N$29+N33))^2)</f>
        <v>443.41324123214901</v>
      </c>
      <c r="Y18" s="132"/>
      <c r="Z18" s="137"/>
      <c r="AA18" s="136"/>
      <c r="AB18" s="136"/>
      <c r="AC18" s="136"/>
    </row>
    <row r="19" spans="7:29" ht="12" customHeight="1" x14ac:dyDescent="0.2">
      <c r="G19" s="5"/>
      <c r="H19" s="6"/>
      <c r="I19" s="6"/>
      <c r="J19" s="6"/>
      <c r="K19" s="6"/>
      <c r="L19" s="6"/>
      <c r="M19" s="6"/>
      <c r="N19" s="6"/>
      <c r="O19" s="7"/>
      <c r="U19" s="132"/>
      <c r="V19" s="132"/>
      <c r="W19" s="132">
        <f>SQRT((H17-$K$33)^2+(($H$25+I33)-($N$29+N33))^2)</f>
        <v>458.83296524988265</v>
      </c>
      <c r="X19" s="132">
        <f>SQRT((I17-$K$33)^2+(($I$25+I33)-($N$29+N33))^2)</f>
        <v>451.0800926664798</v>
      </c>
      <c r="Y19" s="132"/>
      <c r="Z19" s="137"/>
      <c r="AA19" s="136"/>
      <c r="AB19" s="136"/>
      <c r="AC19" s="136"/>
    </row>
    <row r="20" spans="7:29" ht="20.100000000000001" customHeight="1" x14ac:dyDescent="0.2">
      <c r="G20" s="5"/>
      <c r="H20" s="72" t="s">
        <v>3</v>
      </c>
      <c r="I20" s="6"/>
      <c r="J20" s="6"/>
      <c r="K20" s="6"/>
      <c r="L20" s="10"/>
      <c r="M20" s="6"/>
      <c r="N20" s="6"/>
      <c r="O20" s="7"/>
      <c r="U20" s="132"/>
      <c r="V20" s="132"/>
      <c r="W20" s="132"/>
      <c r="X20" s="132"/>
      <c r="Y20" s="132"/>
      <c r="Z20" s="137"/>
      <c r="AA20" s="136"/>
      <c r="AB20" s="136"/>
      <c r="AC20" s="136"/>
    </row>
    <row r="21" spans="7:29" ht="24.75" customHeight="1" x14ac:dyDescent="0.2">
      <c r="G21" s="5"/>
      <c r="H21" s="141"/>
      <c r="I21" s="141"/>
      <c r="J21" s="6"/>
      <c r="K21" s="6"/>
      <c r="L21" s="10"/>
      <c r="M21" s="6"/>
      <c r="N21" s="6"/>
      <c r="O21" s="7"/>
      <c r="U21" s="132"/>
      <c r="V21" s="132"/>
      <c r="W21" s="132" t="s">
        <v>10</v>
      </c>
      <c r="X21" s="132"/>
      <c r="Y21" s="132"/>
      <c r="Z21" s="137"/>
      <c r="AA21" s="136"/>
      <c r="AB21" s="136"/>
      <c r="AC21" s="136"/>
    </row>
    <row r="22" spans="7:29" ht="14.25" x14ac:dyDescent="0.2">
      <c r="G22" s="5"/>
      <c r="H22" s="73"/>
      <c r="I22" s="73"/>
      <c r="J22" s="6"/>
      <c r="K22" s="6"/>
      <c r="L22" s="10"/>
      <c r="M22" s="6"/>
      <c r="N22" s="6"/>
      <c r="O22" s="7"/>
      <c r="U22" s="132"/>
      <c r="V22" s="132"/>
      <c r="W22" s="132">
        <f t="shared" ref="W22:X24" si="0">IF(ISERROR(W12-11.4*LOG10(W17)-5.8+($I$33/300)),"",W12-11.4*LOG10(W17)-5.8+($I$33/300))</f>
        <v>-35.811825068500973</v>
      </c>
      <c r="X22" s="132">
        <f t="shared" si="0"/>
        <v>-35.811825068500973</v>
      </c>
      <c r="Y22" s="132"/>
      <c r="Z22" s="137"/>
      <c r="AA22" s="136"/>
      <c r="AB22" s="136"/>
      <c r="AC22" s="136"/>
    </row>
    <row r="23" spans="7:29" ht="24.75" customHeight="1" x14ac:dyDescent="0.2">
      <c r="G23" s="5"/>
      <c r="H23" s="141">
        <v>22.25</v>
      </c>
      <c r="I23" s="141">
        <v>22.25</v>
      </c>
      <c r="J23" s="6"/>
      <c r="K23" s="6"/>
      <c r="L23" s="111"/>
      <c r="M23" s="6"/>
      <c r="N23" s="6"/>
      <c r="O23" s="7"/>
      <c r="U23" s="132"/>
      <c r="V23" s="132"/>
      <c r="W23" s="132">
        <f t="shared" si="0"/>
        <v>26.75995267153835</v>
      </c>
      <c r="X23" s="132">
        <f t="shared" si="0"/>
        <v>22.171468772442783</v>
      </c>
      <c r="Y23" s="132"/>
      <c r="Z23" s="137"/>
      <c r="AA23" s="136"/>
      <c r="AB23" s="136"/>
      <c r="AC23" s="136"/>
    </row>
    <row r="24" spans="7:29" ht="15" customHeight="1" x14ac:dyDescent="0.2">
      <c r="G24" s="5"/>
      <c r="H24" s="73"/>
      <c r="I24" s="73"/>
      <c r="J24" s="6"/>
      <c r="K24" s="6"/>
      <c r="L24" s="6"/>
      <c r="M24" s="6"/>
      <c r="N24" s="6"/>
      <c r="O24" s="7"/>
      <c r="U24" s="132"/>
      <c r="V24" s="132"/>
      <c r="W24" s="132">
        <f t="shared" si="0"/>
        <v>26.6642555123547</v>
      </c>
      <c r="X24" s="132">
        <f t="shared" si="0"/>
        <v>-35.811825068500973</v>
      </c>
      <c r="Y24" s="132"/>
      <c r="Z24" s="137"/>
      <c r="AA24" s="136"/>
      <c r="AB24" s="136"/>
      <c r="AC24" s="136"/>
    </row>
    <row r="25" spans="7:29" ht="24.75" customHeight="1" x14ac:dyDescent="0.2">
      <c r="G25" s="5"/>
      <c r="H25" s="141">
        <v>14</v>
      </c>
      <c r="I25" s="141"/>
      <c r="J25" s="6"/>
      <c r="K25" s="6"/>
      <c r="L25" s="6"/>
      <c r="M25" s="6"/>
      <c r="N25" s="6"/>
      <c r="O25" s="7"/>
      <c r="U25" s="132"/>
      <c r="V25" s="132" t="s">
        <v>12</v>
      </c>
      <c r="W25" s="132">
        <f>IF(ISERROR(10*LOG10(10^(W22/10)+10^(W23/10)+10^(W24/10))),"",10*LOG10(10^(W22/10)+10^(W23/10)+10^(W24/10)))</f>
        <v>29.722668844461211</v>
      </c>
      <c r="X25" s="132">
        <f>IF(ISERROR(10*LOG10(10^(X22/10)+10^(X23/10)+10^(X24/10))),"",10*LOG10(10^(X22/10)+10^(X23/10)+10^(X24/10)))</f>
        <v>22.171482591685091</v>
      </c>
      <c r="Y25" s="132">
        <f>IF(ISERROR(10*LOG10(10^(W25/10)+10^(X25/10))),"",10*LOG10(10^(W25/10)+10^(X25/10)))</f>
        <v>30.425797853191803</v>
      </c>
      <c r="Z25" s="137"/>
      <c r="AA25" s="136"/>
      <c r="AB25" s="136"/>
      <c r="AC25" s="136"/>
    </row>
    <row r="26" spans="7:29" x14ac:dyDescent="0.2">
      <c r="G26" s="5"/>
      <c r="H26" s="6"/>
      <c r="I26" s="6"/>
      <c r="J26" s="6"/>
      <c r="K26" s="6"/>
      <c r="L26" s="6"/>
      <c r="M26" s="6"/>
      <c r="N26" s="6"/>
      <c r="O26" s="7"/>
      <c r="U26" s="132"/>
      <c r="V26" s="132"/>
      <c r="W26" s="132" t="s">
        <v>11</v>
      </c>
      <c r="X26" s="132"/>
      <c r="Y26" s="132"/>
      <c r="Z26" s="137"/>
      <c r="AA26" s="136"/>
      <c r="AB26" s="136"/>
      <c r="AC26" s="136"/>
    </row>
    <row r="27" spans="7:29" ht="15.75" x14ac:dyDescent="0.25">
      <c r="G27" s="5"/>
      <c r="H27" s="6"/>
      <c r="I27" s="6"/>
      <c r="J27" s="6"/>
      <c r="K27" s="6"/>
      <c r="L27" s="6"/>
      <c r="M27" s="6"/>
      <c r="N27" s="11" t="s">
        <v>26</v>
      </c>
      <c r="O27" s="7"/>
      <c r="U27" s="132"/>
      <c r="V27" s="132"/>
      <c r="W27" s="132">
        <f t="shared" ref="W27:X29" si="1">IF(ISERROR(W6-11.4*LOG10(W17)-5.8+($I$33/300)),"",W6-11.4*LOG10(W17)-5.8+($I$33/300))</f>
        <v>-35.811825068500973</v>
      </c>
      <c r="X27" s="132">
        <f t="shared" si="1"/>
        <v>-35.811825068500973</v>
      </c>
      <c r="Y27" s="132"/>
      <c r="Z27" s="137"/>
      <c r="AA27" s="136"/>
      <c r="AB27" s="136"/>
      <c r="AC27" s="136"/>
    </row>
    <row r="28" spans="7:29" ht="15.75" customHeight="1" x14ac:dyDescent="0.2">
      <c r="G28" s="5"/>
      <c r="H28" s="72" t="s">
        <v>4</v>
      </c>
      <c r="I28" s="6"/>
      <c r="J28" s="6"/>
      <c r="K28" s="6"/>
      <c r="L28" s="6"/>
      <c r="M28" s="10"/>
      <c r="N28" s="6"/>
      <c r="O28" s="7"/>
      <c r="U28" s="132"/>
      <c r="V28" s="132"/>
      <c r="W28" s="132">
        <f t="shared" si="1"/>
        <v>14.68995267153834</v>
      </c>
      <c r="X28" s="132">
        <f t="shared" si="1"/>
        <v>10.101468772442775</v>
      </c>
      <c r="Y28" s="132"/>
      <c r="Z28" s="137"/>
      <c r="AA28" s="136"/>
      <c r="AB28" s="136"/>
      <c r="AC28" s="136"/>
    </row>
    <row r="29" spans="7:29" ht="24.75" customHeight="1" x14ac:dyDescent="0.2">
      <c r="G29" s="5"/>
      <c r="H29" s="141">
        <v>3.18</v>
      </c>
      <c r="I29" s="13" t="s">
        <v>6</v>
      </c>
      <c r="J29" s="6"/>
      <c r="K29" s="6"/>
      <c r="L29" s="6"/>
      <c r="M29" s="125" t="s">
        <v>66</v>
      </c>
      <c r="N29" s="71">
        <v>1.5</v>
      </c>
      <c r="O29" s="107" t="s">
        <v>27</v>
      </c>
      <c r="U29" s="132"/>
      <c r="V29" s="132"/>
      <c r="W29" s="132">
        <f t="shared" si="1"/>
        <v>15.334255512354687</v>
      </c>
      <c r="X29" s="132">
        <f t="shared" si="1"/>
        <v>-35.811825068500973</v>
      </c>
      <c r="Y29" s="132"/>
      <c r="Z29" s="137"/>
      <c r="AA29" s="136"/>
      <c r="AB29" s="136"/>
      <c r="AC29" s="136"/>
    </row>
    <row r="30" spans="7:29" x14ac:dyDescent="0.2">
      <c r="G30" s="5"/>
      <c r="H30" s="6"/>
      <c r="I30" s="6"/>
      <c r="J30" s="6"/>
      <c r="K30" s="6"/>
      <c r="L30" s="6"/>
      <c r="M30" s="6"/>
      <c r="N30" s="6"/>
      <c r="O30" s="7"/>
      <c r="U30" s="132"/>
      <c r="V30" s="132" t="s">
        <v>12</v>
      </c>
      <c r="W30" s="132">
        <f>IF(ISERROR(10*LOG10(10^(W27/10)+10^(W28/10)+10^(W29/10))),"",10*LOG10(10^(W27/10)+10^(W28/10)+10^(W29/10)))</f>
        <v>18.034359311289233</v>
      </c>
      <c r="X30" s="132">
        <f>IF(ISERROR(10*LOG10(10^(X27/10)+10^(X28/10)+10^(X29/10))),"",10*LOG10(10^(X27/10)+10^(X28/10)+10^(X29/10)))</f>
        <v>10.101691346116482</v>
      </c>
      <c r="Y30" s="132">
        <f>IF(ISERROR(10*LOG10(10^(W30/10)+10^(X30/10))),"",10*LOG10(10^(W30/10)+10^(X30/10)))</f>
        <v>18.682553008163861</v>
      </c>
      <c r="Z30" s="137"/>
      <c r="AA30" s="136"/>
      <c r="AB30" s="136"/>
      <c r="AC30" s="136"/>
    </row>
    <row r="31" spans="7:29" x14ac:dyDescent="0.2">
      <c r="G31" s="5"/>
      <c r="H31" s="6"/>
      <c r="I31" s="6"/>
      <c r="J31" s="6"/>
      <c r="K31" s="6"/>
      <c r="L31" s="6"/>
      <c r="M31" s="6"/>
      <c r="N31" s="6"/>
      <c r="O31" s="7"/>
      <c r="U31" s="132"/>
      <c r="V31" s="132"/>
      <c r="W31" s="132"/>
      <c r="X31" s="132"/>
      <c r="Y31" s="132"/>
      <c r="Z31" s="137"/>
      <c r="AA31" s="136"/>
      <c r="AB31" s="136"/>
      <c r="AC31" s="136"/>
    </row>
    <row r="32" spans="7:29" ht="12.75" customHeight="1" thickBot="1" x14ac:dyDescent="0.25">
      <c r="G32" s="5"/>
      <c r="H32" s="6"/>
      <c r="I32" s="6"/>
      <c r="J32" s="6"/>
      <c r="K32" s="6"/>
      <c r="L32" s="6"/>
      <c r="M32" s="6"/>
      <c r="N32" s="6"/>
      <c r="O32" s="7"/>
      <c r="U32" s="132"/>
      <c r="V32" s="132"/>
      <c r="W32" s="132"/>
      <c r="X32" s="132"/>
      <c r="Y32" s="132"/>
      <c r="Z32" s="137"/>
      <c r="AA32" s="136"/>
      <c r="AB32" s="136"/>
      <c r="AC32" s="136"/>
    </row>
    <row r="33" spans="2:29" ht="24.75" customHeight="1" thickBot="1" x14ac:dyDescent="0.25">
      <c r="G33" s="5"/>
      <c r="H33" s="12"/>
      <c r="I33" s="114">
        <v>74</v>
      </c>
      <c r="J33" s="13" t="s">
        <v>27</v>
      </c>
      <c r="K33" s="112">
        <v>451</v>
      </c>
      <c r="L33" s="110" t="s">
        <v>27</v>
      </c>
      <c r="M33" s="113"/>
      <c r="N33" s="124">
        <v>81</v>
      </c>
      <c r="O33" s="108" t="s">
        <v>27</v>
      </c>
      <c r="U33" s="132"/>
      <c r="V33" s="132" t="s">
        <v>13</v>
      </c>
      <c r="W33" s="132">
        <f>IF(ISERROR(10*LOG10(X33*(10^(Y25/10))+(1-X33)*(10^(Y30/10)))),"",10*LOG10(X33*(10^(Y25/10))+(1-X33)*(10^(Y30/10))))</f>
        <v>20.607012208219043</v>
      </c>
      <c r="X33" s="132">
        <f>IF(R8=1,0.1,IF(R8=2,0.07,IF(R8=3,0.05,0.04)))</f>
        <v>0.04</v>
      </c>
      <c r="Y33" s="132"/>
      <c r="Z33" s="137"/>
      <c r="AA33" s="136"/>
      <c r="AB33" s="136"/>
      <c r="AC33" s="136"/>
    </row>
    <row r="34" spans="2:29" ht="14.1" customHeight="1" x14ac:dyDescent="0.2">
      <c r="G34" s="14"/>
      <c r="H34" s="15"/>
      <c r="I34" s="15"/>
      <c r="J34" s="15"/>
      <c r="K34" s="15"/>
      <c r="L34" s="15"/>
      <c r="M34" s="15"/>
      <c r="N34" s="15"/>
      <c r="O34" s="16"/>
      <c r="U34" s="132"/>
      <c r="V34" s="132"/>
      <c r="W34" s="132"/>
      <c r="X34" s="132"/>
      <c r="Y34" s="132"/>
      <c r="Z34" s="137"/>
      <c r="AA34" s="136"/>
      <c r="AB34" s="136"/>
      <c r="AC34" s="136"/>
    </row>
    <row r="35" spans="2:29" ht="12.75" customHeight="1" x14ac:dyDescent="0.2">
      <c r="U35" s="132"/>
      <c r="V35" s="132"/>
      <c r="W35" s="132"/>
      <c r="X35" s="132"/>
      <c r="Y35" s="132"/>
      <c r="Z35" s="137"/>
      <c r="AA35" s="136"/>
      <c r="AB35" s="136"/>
      <c r="AC35" s="136"/>
    </row>
    <row r="36" spans="2:29" ht="11.1" customHeight="1" x14ac:dyDescent="0.2">
      <c r="U36" s="132"/>
      <c r="V36" s="132"/>
      <c r="W36" s="132"/>
      <c r="X36" s="132"/>
      <c r="Y36" s="132"/>
      <c r="Z36" s="137"/>
      <c r="AA36" s="136"/>
      <c r="AB36" s="136"/>
      <c r="AC36" s="136"/>
    </row>
    <row r="37" spans="2:29" ht="21.75" customHeight="1" x14ac:dyDescent="0.25">
      <c r="B37" s="103" t="s">
        <v>77</v>
      </c>
      <c r="C37" s="122">
        <v>16</v>
      </c>
      <c r="D37" s="4" t="s">
        <v>45</v>
      </c>
      <c r="G37" s="1"/>
      <c r="H37" s="27" t="s">
        <v>84</v>
      </c>
      <c r="I37" s="2"/>
      <c r="J37" s="2"/>
      <c r="K37" s="2"/>
      <c r="L37" s="4"/>
      <c r="U37" s="132"/>
      <c r="V37" s="132"/>
      <c r="W37" s="132"/>
      <c r="X37" s="132"/>
      <c r="Y37" s="132"/>
      <c r="Z37" s="137"/>
      <c r="AA37" s="136"/>
      <c r="AB37" s="136"/>
      <c r="AC37" s="136"/>
    </row>
    <row r="38" spans="2:29" ht="24" customHeight="1" x14ac:dyDescent="0.25">
      <c r="B38" s="32" t="s">
        <v>46</v>
      </c>
      <c r="C38" s="123">
        <v>85</v>
      </c>
      <c r="D38" s="7" t="s">
        <v>47</v>
      </c>
      <c r="G38" s="5"/>
      <c r="H38" s="25" t="s">
        <v>53</v>
      </c>
      <c r="I38" s="25" t="s">
        <v>54</v>
      </c>
      <c r="J38" s="25" t="s">
        <v>55</v>
      </c>
      <c r="K38" s="34" t="s">
        <v>48</v>
      </c>
      <c r="L38" s="7"/>
      <c r="U38" s="132"/>
      <c r="V38" s="132"/>
      <c r="W38" s="132"/>
      <c r="X38" s="132"/>
      <c r="Y38" s="132"/>
      <c r="Z38" s="137"/>
      <c r="AA38" s="136"/>
      <c r="AB38" s="136"/>
      <c r="AC38" s="136"/>
    </row>
    <row r="39" spans="2:29" ht="26.1" customHeight="1" x14ac:dyDescent="0.25">
      <c r="B39" s="33" t="s">
        <v>49</v>
      </c>
      <c r="C39" s="123">
        <v>0</v>
      </c>
      <c r="D39" s="7" t="s">
        <v>70</v>
      </c>
      <c r="G39" s="5"/>
      <c r="H39" s="26">
        <v>43</v>
      </c>
      <c r="I39" s="26">
        <v>40.200000000000003</v>
      </c>
      <c r="J39" s="26">
        <v>39.299999999999997</v>
      </c>
      <c r="K39" s="129">
        <v>46.4</v>
      </c>
      <c r="L39" s="28" t="s">
        <v>22</v>
      </c>
      <c r="U39" s="132"/>
      <c r="V39" s="139">
        <f>IF(ISERROR(10*LOG(1/24*(13*(10^(H39/10))+3*(10^((I39+5)/10))+8*(10^((J39+10)/10))))),"-",10*LOG(1/24*(13*(10^(H39/10))+3*(10^((I39+5)/10))+8*(10^((J39+10)/10)))))</f>
        <v>46.366691772756596</v>
      </c>
      <c r="W39" s="132"/>
      <c r="X39" s="132"/>
      <c r="Y39" s="132"/>
      <c r="Z39" s="137"/>
      <c r="AA39" s="136"/>
      <c r="AB39" s="136"/>
      <c r="AC39" s="136"/>
    </row>
    <row r="40" spans="2:29" ht="17.100000000000001" customHeight="1" x14ac:dyDescent="0.2">
      <c r="C40" s="133">
        <f>(C39*3600)/1000</f>
        <v>0</v>
      </c>
      <c r="D40" s="16" t="s">
        <v>83</v>
      </c>
      <c r="G40" s="14"/>
      <c r="H40" s="15"/>
      <c r="I40" s="15"/>
      <c r="J40" s="15"/>
      <c r="K40" s="15"/>
      <c r="L40" s="16"/>
      <c r="U40" s="132"/>
      <c r="V40" s="132"/>
      <c r="W40" s="132"/>
      <c r="X40" s="132"/>
      <c r="Y40" s="132"/>
      <c r="Z40" s="136"/>
      <c r="AA40" s="136"/>
      <c r="AB40" s="136"/>
      <c r="AC40" s="136"/>
    </row>
    <row r="41" spans="2:29" ht="6.75" customHeight="1" x14ac:dyDescent="0.2">
      <c r="U41" s="132"/>
      <c r="V41" s="132"/>
      <c r="W41" s="132"/>
      <c r="X41" s="132"/>
      <c r="Y41" s="132"/>
      <c r="Z41" s="136"/>
      <c r="AA41" s="136"/>
      <c r="AB41" s="136"/>
      <c r="AC41" s="136"/>
    </row>
    <row r="42" spans="2:29" ht="6.75" customHeight="1" x14ac:dyDescent="0.2">
      <c r="U42" s="132"/>
      <c r="V42" s="132"/>
      <c r="W42" s="132"/>
      <c r="X42" s="132"/>
      <c r="Y42" s="132"/>
      <c r="Z42" s="136"/>
      <c r="AA42" s="136"/>
      <c r="AB42" s="136"/>
      <c r="AC42" s="136"/>
    </row>
    <row r="43" spans="2:29" ht="12" customHeight="1" x14ac:dyDescent="0.2">
      <c r="G43" s="35"/>
      <c r="H43" s="62"/>
      <c r="I43" s="62"/>
      <c r="J43" s="62"/>
      <c r="K43" s="62"/>
      <c r="L43" s="36"/>
      <c r="U43" s="132"/>
      <c r="V43" s="132"/>
      <c r="W43" s="132"/>
      <c r="X43" s="132"/>
      <c r="Y43" s="132"/>
      <c r="Z43" s="136"/>
      <c r="AA43" s="136"/>
      <c r="AB43" s="136"/>
      <c r="AC43" s="136"/>
    </row>
    <row r="44" spans="2:29" ht="18" customHeight="1" x14ac:dyDescent="0.2">
      <c r="G44" s="37"/>
      <c r="H44" s="63" t="s">
        <v>23</v>
      </c>
      <c r="I44" s="64"/>
      <c r="J44" s="64"/>
      <c r="K44" s="65"/>
      <c r="L44" s="40"/>
      <c r="U44" s="132"/>
      <c r="V44" s="132"/>
      <c r="W44" s="132"/>
      <c r="X44" s="132"/>
      <c r="Y44" s="132"/>
      <c r="Z44" s="136"/>
      <c r="AA44" s="136"/>
      <c r="AB44" s="136"/>
      <c r="AC44" s="136"/>
    </row>
    <row r="45" spans="2:29" ht="21.95" customHeight="1" x14ac:dyDescent="0.2">
      <c r="G45" s="37"/>
      <c r="H45" s="38" t="s">
        <v>53</v>
      </c>
      <c r="I45" s="38" t="s">
        <v>54</v>
      </c>
      <c r="J45" s="38" t="s">
        <v>55</v>
      </c>
      <c r="K45" s="39" t="s">
        <v>48</v>
      </c>
      <c r="L45" s="40"/>
      <c r="U45" s="132"/>
      <c r="V45" s="132"/>
      <c r="W45" s="132"/>
      <c r="X45" s="132"/>
      <c r="Y45" s="132"/>
      <c r="Z45" s="136"/>
      <c r="AA45" s="136"/>
      <c r="AB45" s="136"/>
      <c r="AC45" s="136"/>
    </row>
    <row r="46" spans="2:29" ht="18.95" customHeight="1" x14ac:dyDescent="0.2">
      <c r="G46" s="102" t="s">
        <v>75</v>
      </c>
      <c r="H46" s="41">
        <f>IF(($Y$25)="","-",IF($Y$25&lt;0,"-",$Y$25))</f>
        <v>30.425797853191803</v>
      </c>
      <c r="I46" s="41">
        <f>IF(($Y$25)="","-",IF($Y$25&lt;0,"-",$Y$25))</f>
        <v>30.425797853191803</v>
      </c>
      <c r="J46" s="41">
        <f>IF(($Y$25)="","-",IF($Y$25&lt;0,"-",$Y$25))</f>
        <v>30.425797853191803</v>
      </c>
      <c r="K46" s="126">
        <f>IF(ISERROR(10*LOG(1/24*(13*(10^(H46/10))+3*(10^((I46+5)/10))+8*(10^((J46+10)/10))))),"-",10*LOG(1/24*(13*(10^(H46/10))+3*(10^((I46+5)/10))+8*(10^((J46+10)/10)))))</f>
        <v>36.730366164995615</v>
      </c>
      <c r="L46" s="42" t="s">
        <v>22</v>
      </c>
      <c r="U46" s="132"/>
      <c r="V46" s="132"/>
      <c r="W46" s="132"/>
      <c r="X46" s="132"/>
      <c r="Y46" s="132"/>
      <c r="Z46" s="136"/>
      <c r="AA46" s="136"/>
      <c r="AB46" s="136"/>
      <c r="AC46" s="136"/>
    </row>
    <row r="47" spans="2:29" ht="6.95" customHeight="1" x14ac:dyDescent="0.2">
      <c r="G47" s="43"/>
      <c r="H47" s="44"/>
      <c r="I47" s="44"/>
      <c r="J47" s="44"/>
      <c r="K47" s="127"/>
      <c r="L47" s="40"/>
      <c r="U47" s="132"/>
      <c r="V47" s="132"/>
      <c r="W47" s="132"/>
      <c r="X47" s="132"/>
      <c r="Y47" s="132"/>
      <c r="Z47" s="136"/>
      <c r="AA47" s="136"/>
      <c r="AB47" s="136"/>
      <c r="AC47" s="136"/>
    </row>
    <row r="48" spans="2:29" ht="14.1" customHeight="1" x14ac:dyDescent="0.2">
      <c r="G48" s="102" t="s">
        <v>76</v>
      </c>
      <c r="H48" s="41">
        <f>IF(($Y$30)="","-",IF($Y$30&lt;0,"-",$Y$30))</f>
        <v>18.682553008163861</v>
      </c>
      <c r="I48" s="41">
        <f>IF(($Y$30)="","-",IF($Y$30&lt;0,"-",$Y$30))</f>
        <v>18.682553008163861</v>
      </c>
      <c r="J48" s="41">
        <f>IF(($Y$30)="","-",IF($Y$30&lt;0,"-",$Y$30))</f>
        <v>18.682553008163861</v>
      </c>
      <c r="K48" s="126">
        <f>IF(ISERROR(10*LOG(1/24*(13*(10^(H48/10))+3*(10^((I48+5)/10))+8*(10^((J48+10)/10))))),"-",10*LOG(1/24*(13*(10^(H48/10))+3*(10^((I48+5)/10))+8*(10^((J48+10)/10)))))</f>
        <v>24.987121319967677</v>
      </c>
      <c r="L48" s="42" t="s">
        <v>22</v>
      </c>
      <c r="U48" s="132"/>
      <c r="V48" s="132"/>
      <c r="W48" s="132"/>
      <c r="X48" s="132"/>
      <c r="Y48" s="132"/>
      <c r="Z48" s="136"/>
      <c r="AA48" s="136"/>
      <c r="AB48" s="136"/>
      <c r="AC48" s="136"/>
    </row>
    <row r="49" spans="7:29" ht="12" customHeight="1" x14ac:dyDescent="0.2">
      <c r="G49" s="37"/>
      <c r="H49" s="44"/>
      <c r="I49" s="44"/>
      <c r="J49" s="44"/>
      <c r="K49" s="127"/>
      <c r="L49" s="40"/>
      <c r="U49" s="132"/>
      <c r="V49" s="132"/>
      <c r="W49" s="132"/>
      <c r="X49" s="132"/>
      <c r="Y49" s="132"/>
      <c r="Z49" s="136"/>
      <c r="AA49" s="136"/>
      <c r="AB49" s="136"/>
      <c r="AC49" s="136"/>
    </row>
    <row r="50" spans="7:29" ht="21.75" customHeight="1" x14ac:dyDescent="0.2">
      <c r="G50" s="66" t="s">
        <v>52</v>
      </c>
      <c r="H50" s="70">
        <f>IF(($W$33)="","-",IF($W$33&lt;0,"-",$W$33))</f>
        <v>20.607012208219043</v>
      </c>
      <c r="I50" s="70">
        <f>IF(($W$33)="","-",IF($W$33&lt;0,"-",$W$33))</f>
        <v>20.607012208219043</v>
      </c>
      <c r="J50" s="70">
        <f>IF(($W$33)="","-",IF($W$33&lt;0,"-",$W$33))</f>
        <v>20.607012208219043</v>
      </c>
      <c r="K50" s="128">
        <f>IF(ISERROR(10*LOG(1/24*(13*(10^(H50/10))+3*(10^((I50+5)/10))+8*(10^((J50+10)/10))))),"-",10*LOG(1/24*(13*(10^(H50/10))+3*(10^((I50+5)/10))+8*(10^((J50+10)/10)))))</f>
        <v>26.911580520022852</v>
      </c>
      <c r="L50" s="42" t="s">
        <v>22</v>
      </c>
      <c r="U50" s="132"/>
      <c r="V50" s="132"/>
      <c r="W50" s="132"/>
      <c r="X50" s="132"/>
      <c r="Y50" s="132"/>
      <c r="Z50" s="136"/>
      <c r="AA50" s="136"/>
      <c r="AB50" s="136"/>
      <c r="AC50" s="136"/>
    </row>
    <row r="51" spans="7:29" x14ac:dyDescent="0.2">
      <c r="G51" s="67"/>
      <c r="H51" s="68"/>
      <c r="I51" s="68"/>
      <c r="J51" s="68"/>
      <c r="K51" s="68"/>
      <c r="L51" s="69"/>
      <c r="U51" s="132"/>
      <c r="V51" s="132"/>
      <c r="W51" s="132"/>
      <c r="X51" s="132"/>
      <c r="Y51" s="132"/>
      <c r="Z51" s="136"/>
      <c r="AA51" s="136"/>
      <c r="AB51" s="136"/>
      <c r="AC51" s="136"/>
    </row>
    <row r="52" spans="7:29" ht="6.75" customHeight="1" x14ac:dyDescent="0.2">
      <c r="U52" s="132"/>
      <c r="V52" s="132"/>
      <c r="W52" s="132"/>
      <c r="X52" s="132"/>
      <c r="Y52" s="132"/>
      <c r="Z52" s="136"/>
      <c r="AA52" s="136"/>
      <c r="AB52" s="136"/>
      <c r="AC52" s="136"/>
    </row>
    <row r="53" spans="7:29" ht="6.75" customHeight="1" x14ac:dyDescent="0.2">
      <c r="U53" s="132"/>
      <c r="V53" s="132"/>
      <c r="W53" s="132"/>
      <c r="X53" s="132"/>
      <c r="Y53" s="132"/>
      <c r="Z53" s="136"/>
      <c r="AA53" s="136"/>
      <c r="AB53" s="136"/>
      <c r="AC53" s="136"/>
    </row>
    <row r="54" spans="7:29" ht="15.75" customHeight="1" x14ac:dyDescent="0.2">
      <c r="G54" s="45"/>
      <c r="H54" s="46"/>
      <c r="I54" s="46"/>
      <c r="J54" s="46"/>
      <c r="K54" s="46"/>
      <c r="L54" s="47"/>
      <c r="U54" s="132"/>
      <c r="V54" s="132"/>
      <c r="W54" s="132"/>
      <c r="X54" s="132"/>
      <c r="Y54" s="132"/>
      <c r="Z54" s="136"/>
      <c r="AA54" s="136"/>
      <c r="AB54" s="136"/>
      <c r="AC54" s="136"/>
    </row>
    <row r="55" spans="7:29" ht="14.1" customHeight="1" x14ac:dyDescent="0.25">
      <c r="G55" s="48"/>
      <c r="H55" s="49" t="s">
        <v>50</v>
      </c>
      <c r="I55" s="50"/>
      <c r="J55" s="50"/>
      <c r="K55" s="51"/>
      <c r="L55" s="52"/>
      <c r="U55" s="132"/>
      <c r="V55" s="132"/>
      <c r="W55" s="132"/>
      <c r="X55" s="132"/>
      <c r="Y55" s="132"/>
      <c r="Z55" s="136"/>
      <c r="AA55" s="136"/>
      <c r="AB55" s="136"/>
      <c r="AC55" s="136"/>
    </row>
    <row r="56" spans="7:29" ht="18.75" customHeight="1" x14ac:dyDescent="0.2">
      <c r="G56" s="48"/>
      <c r="H56" s="53" t="s">
        <v>53</v>
      </c>
      <c r="I56" s="53" t="s">
        <v>54</v>
      </c>
      <c r="J56" s="53" t="s">
        <v>55</v>
      </c>
      <c r="K56" s="54" t="s">
        <v>48</v>
      </c>
      <c r="L56" s="52"/>
      <c r="U56" s="132"/>
      <c r="V56" s="132"/>
      <c r="W56" s="132"/>
      <c r="X56" s="132"/>
      <c r="Y56" s="132"/>
      <c r="Z56" s="136"/>
      <c r="AA56" s="136"/>
      <c r="AB56" s="136"/>
      <c r="AC56" s="136"/>
    </row>
    <row r="57" spans="7:29" ht="29.1" customHeight="1" x14ac:dyDescent="0.2">
      <c r="G57" s="48"/>
      <c r="H57" s="115">
        <f>ROUND(IF(ISERROR(10*LOG10(10^($H$50/10)+10^(H39/10))),H39,10*LOG10(10^($H$50/10)+10^(H39/10))),1)</f>
        <v>43</v>
      </c>
      <c r="I57" s="115">
        <f>ROUND(IF(ISERROR(10*LOG10(10^($H$50/10)+10^(I39/10))),I39,10*LOG10(10^($H$50/10)+10^(I39/10))),1)</f>
        <v>40.200000000000003</v>
      </c>
      <c r="J57" s="115">
        <f>ROUND(IF(ISERROR(10*LOG10(10^($H$50/10)+10^(J39/10))),J39,10*LOG10(10^($H$50/10)+10^(J39/10))),1)</f>
        <v>39.4</v>
      </c>
      <c r="K57" s="138">
        <f>IF(V57&lt;7,0,V57)</f>
        <v>46.432446544615573</v>
      </c>
      <c r="L57" s="55" t="s">
        <v>22</v>
      </c>
      <c r="U57" s="132"/>
      <c r="V57" s="140">
        <f>IF(ISERROR(10*LOG(1/24*(13*(10^(H57/10))+3*(10^((I57+5)/10))+8*(10^((J57+10)/10))))),"-",10*LOG(1/24*(13*(10^(H57/10))+3*(10^((I57+5)/10))+8*(10^((J57+10)/10)))))</f>
        <v>46.432446544615573</v>
      </c>
      <c r="W57" s="132"/>
      <c r="X57" s="132"/>
      <c r="Y57" s="132"/>
      <c r="Z57" s="136"/>
      <c r="AA57" s="136"/>
      <c r="AB57" s="136"/>
      <c r="AC57" s="136"/>
    </row>
    <row r="58" spans="7:29" ht="11.1" customHeight="1" x14ac:dyDescent="0.2">
      <c r="G58" s="48"/>
      <c r="H58" s="56"/>
      <c r="I58" s="56"/>
      <c r="J58" s="56"/>
      <c r="K58" s="56"/>
      <c r="L58" s="52"/>
      <c r="U58" s="132"/>
      <c r="V58" s="132"/>
      <c r="W58" s="132"/>
      <c r="X58" s="132"/>
      <c r="Y58" s="132"/>
      <c r="Z58" s="136"/>
      <c r="AA58" s="136"/>
      <c r="AB58" s="136"/>
      <c r="AC58" s="136"/>
    </row>
    <row r="59" spans="7:29" ht="17.100000000000001" customHeight="1" x14ac:dyDescent="0.2">
      <c r="G59" s="57" t="s">
        <v>73</v>
      </c>
      <c r="H59" s="58" t="str">
        <f>IF(H57&lt;=45,"- ",H57-H39)</f>
        <v xml:space="preserve">- </v>
      </c>
      <c r="I59" s="58" t="str">
        <f>IF(I57&lt;=45,"- ",I57-I39)</f>
        <v xml:space="preserve">- </v>
      </c>
      <c r="J59" s="58" t="str">
        <f>IF(J57&lt;=45,"- ",J57-J39)</f>
        <v xml:space="preserve">- </v>
      </c>
      <c r="K59" s="56"/>
      <c r="L59" s="52"/>
      <c r="U59" s="132"/>
      <c r="V59" s="132"/>
      <c r="W59" s="132"/>
      <c r="X59" s="132"/>
      <c r="Y59" s="132"/>
      <c r="Z59" s="136"/>
      <c r="AA59" s="136"/>
      <c r="AB59" s="136"/>
      <c r="AC59" s="136"/>
    </row>
    <row r="60" spans="7:29" ht="14.1" customHeight="1" x14ac:dyDescent="0.2">
      <c r="G60" s="59"/>
      <c r="H60" s="60"/>
      <c r="I60" s="60"/>
      <c r="J60" s="60"/>
      <c r="K60" s="60"/>
      <c r="L60" s="61"/>
      <c r="U60" s="132"/>
      <c r="V60" s="132"/>
      <c r="W60" s="132"/>
      <c r="X60" s="132"/>
      <c r="Y60" s="132"/>
      <c r="Z60" s="136"/>
      <c r="AA60" s="136"/>
      <c r="AB60" s="136"/>
      <c r="AC60" s="136"/>
    </row>
    <row r="61" spans="7:29" x14ac:dyDescent="0.2">
      <c r="U61" s="136"/>
      <c r="V61" s="136"/>
      <c r="W61" s="136"/>
      <c r="X61" s="136"/>
      <c r="Y61" s="136"/>
      <c r="Z61" s="136"/>
      <c r="AA61" s="136"/>
      <c r="AB61" s="136"/>
      <c r="AC61" s="136"/>
    </row>
    <row r="62" spans="7:29" x14ac:dyDescent="0.2">
      <c r="U62" s="136"/>
      <c r="V62" s="136"/>
      <c r="W62" s="136"/>
      <c r="X62" s="136"/>
      <c r="Y62" s="136"/>
      <c r="Z62" s="136"/>
      <c r="AA62" s="136"/>
      <c r="AB62" s="136"/>
      <c r="AC62" s="136"/>
    </row>
    <row r="63" spans="7:29" x14ac:dyDescent="0.2">
      <c r="U63" s="136"/>
      <c r="V63" s="136"/>
      <c r="W63" s="136"/>
      <c r="X63" s="136"/>
      <c r="Y63" s="136"/>
      <c r="Z63" s="136"/>
      <c r="AA63" s="136"/>
      <c r="AB63" s="136"/>
      <c r="AC63" s="136"/>
    </row>
    <row r="82" spans="2:7" ht="15" x14ac:dyDescent="0.25">
      <c r="B82" s="29" t="s">
        <v>20</v>
      </c>
      <c r="C82" s="146" t="str">
        <f>C5</f>
        <v>NA</v>
      </c>
      <c r="D82" s="143"/>
      <c r="E82" s="143"/>
      <c r="F82" s="143"/>
      <c r="G82" s="147"/>
    </row>
    <row r="83" spans="2:7" ht="15" x14ac:dyDescent="0.25">
      <c r="B83" s="30" t="s">
        <v>17</v>
      </c>
      <c r="C83" s="148" t="str">
        <f>C6</f>
        <v>Ramal da Linha Central de Sines - Sines 3 para CALB B</v>
      </c>
      <c r="D83" s="145"/>
      <c r="E83" s="145"/>
      <c r="F83" s="145"/>
      <c r="G83" s="149"/>
    </row>
    <row r="84" spans="2:7" ht="15" x14ac:dyDescent="0.25">
      <c r="B84" s="30" t="s">
        <v>5</v>
      </c>
      <c r="C84" s="148" t="str">
        <f>C7</f>
        <v>400 kV</v>
      </c>
      <c r="D84" s="145"/>
      <c r="E84" s="145"/>
      <c r="F84" s="145"/>
      <c r="G84" s="149"/>
    </row>
    <row r="85" spans="2:7" ht="15" x14ac:dyDescent="0.25">
      <c r="B85" s="30" t="s">
        <v>21</v>
      </c>
      <c r="C85" s="148" t="str">
        <f>C8</f>
        <v xml:space="preserve">EIA </v>
      </c>
      <c r="D85" s="145"/>
      <c r="E85" s="145"/>
      <c r="F85" s="145"/>
      <c r="G85" s="149"/>
    </row>
    <row r="86" spans="2:7" ht="15" x14ac:dyDescent="0.25">
      <c r="B86" s="31" t="s">
        <v>16</v>
      </c>
      <c r="C86" s="150" t="str">
        <f>C9</f>
        <v>Ponto 5 (Apoio DLT)</v>
      </c>
      <c r="D86" s="151"/>
      <c r="E86" s="151"/>
      <c r="F86" s="151"/>
      <c r="G86" s="152"/>
    </row>
    <row r="88" spans="2:7" ht="15" x14ac:dyDescent="0.25">
      <c r="B88" s="116" t="s">
        <v>2</v>
      </c>
      <c r="C88" s="153" t="str">
        <f>C4</f>
        <v>NA</v>
      </c>
      <c r="D88" s="154"/>
    </row>
    <row r="99" spans="3:7" x14ac:dyDescent="0.2">
      <c r="C99" s="144" t="s">
        <v>78</v>
      </c>
      <c r="D99" s="144" t="s">
        <v>79</v>
      </c>
    </row>
    <row r="100" spans="3:7" x14ac:dyDescent="0.2">
      <c r="C100" s="144"/>
      <c r="D100" s="144"/>
    </row>
    <row r="101" spans="3:7" x14ac:dyDescent="0.2">
      <c r="C101" s="78">
        <f>H13</f>
        <v>0</v>
      </c>
      <c r="D101" s="79">
        <f>I13</f>
        <v>0</v>
      </c>
      <c r="F101" s="100">
        <f>I33</f>
        <v>74</v>
      </c>
      <c r="G101" t="s">
        <v>27</v>
      </c>
    </row>
    <row r="102" spans="3:7" x14ac:dyDescent="0.2">
      <c r="C102" s="80">
        <f>H15</f>
        <v>-7.8</v>
      </c>
      <c r="D102" s="81">
        <f>I15</f>
        <v>7.8</v>
      </c>
    </row>
    <row r="103" spans="3:7" x14ac:dyDescent="0.2">
      <c r="C103" s="82">
        <f>H17</f>
        <v>-7.8</v>
      </c>
      <c r="D103" s="83">
        <f>I17</f>
        <v>0</v>
      </c>
    </row>
    <row r="104" spans="3:7" x14ac:dyDescent="0.2">
      <c r="C104" s="144"/>
      <c r="D104" s="144"/>
    </row>
    <row r="105" spans="3:7" x14ac:dyDescent="0.2">
      <c r="C105" s="78">
        <f>H21</f>
        <v>0</v>
      </c>
      <c r="D105" s="79">
        <f>I21</f>
        <v>0</v>
      </c>
    </row>
    <row r="106" spans="3:7" x14ac:dyDescent="0.2">
      <c r="C106" s="80">
        <f>H23</f>
        <v>22.25</v>
      </c>
      <c r="D106" s="81">
        <f>I23</f>
        <v>22.25</v>
      </c>
      <c r="G106" s="99">
        <f>N29</f>
        <v>1.5</v>
      </c>
    </row>
    <row r="107" spans="3:7" x14ac:dyDescent="0.2">
      <c r="C107" s="82">
        <f>H25</f>
        <v>14</v>
      </c>
      <c r="D107" s="83">
        <f>I25</f>
        <v>0</v>
      </c>
      <c r="G107" s="144"/>
    </row>
    <row r="108" spans="3:7" x14ac:dyDescent="0.2">
      <c r="C108" s="144"/>
      <c r="D108" s="144"/>
      <c r="G108" s="155">
        <f>K33</f>
        <v>451</v>
      </c>
    </row>
    <row r="109" spans="3:7" x14ac:dyDescent="0.2">
      <c r="C109" s="84">
        <f>H29</f>
        <v>3.18</v>
      </c>
      <c r="D109" s="144"/>
      <c r="G109" s="156"/>
    </row>
    <row r="110" spans="3:7" x14ac:dyDescent="0.2">
      <c r="C110" s="144"/>
      <c r="D110" s="144"/>
    </row>
    <row r="112" spans="3:7" x14ac:dyDescent="0.2">
      <c r="C112" s="85">
        <f>L13</f>
        <v>0</v>
      </c>
      <c r="D112" s="86">
        <f>M13</f>
        <v>0</v>
      </c>
      <c r="G112" s="157" t="str">
        <f>IF(R8=1,"Minho",IF(R8=2,"Trás-os-Montes",IF(R8=3,"centro","sul")))</f>
        <v>sul</v>
      </c>
    </row>
    <row r="113" spans="1:7" x14ac:dyDescent="0.2">
      <c r="C113" s="87">
        <f>L15</f>
        <v>16.04</v>
      </c>
      <c r="D113" s="88">
        <f>M15</f>
        <v>14.64</v>
      </c>
      <c r="G113" s="157"/>
    </row>
    <row r="114" spans="1:7" x14ac:dyDescent="0.2">
      <c r="C114" s="89">
        <f>L17</f>
        <v>16.010000000000002</v>
      </c>
      <c r="D114" s="90">
        <f>M17</f>
        <v>0</v>
      </c>
    </row>
    <row r="115" spans="1:7" x14ac:dyDescent="0.2">
      <c r="A115" s="91"/>
      <c r="B115" s="91"/>
      <c r="C115" s="91"/>
      <c r="D115" s="91"/>
      <c r="E115" s="91"/>
      <c r="F115" s="91"/>
      <c r="G115" s="91"/>
    </row>
    <row r="117" spans="1:7" x14ac:dyDescent="0.2">
      <c r="C117" s="134" t="s">
        <v>53</v>
      </c>
      <c r="D117" s="134" t="s">
        <v>54</v>
      </c>
      <c r="E117" s="134" t="s">
        <v>55</v>
      </c>
      <c r="F117" s="134" t="s">
        <v>48</v>
      </c>
    </row>
    <row r="118" spans="1:7" x14ac:dyDescent="0.2">
      <c r="C118" s="92">
        <f>H39</f>
        <v>43</v>
      </c>
      <c r="D118" s="93">
        <f>I39</f>
        <v>40.200000000000003</v>
      </c>
      <c r="E118" s="93">
        <f>J39</f>
        <v>39.299999999999997</v>
      </c>
      <c r="F118" s="106">
        <f>K39</f>
        <v>46.4</v>
      </c>
      <c r="G118" t="s">
        <v>22</v>
      </c>
    </row>
    <row r="119" spans="1:7" ht="14.1" customHeight="1" x14ac:dyDescent="0.2"/>
    <row r="123" spans="1:7" x14ac:dyDescent="0.2">
      <c r="A123" s="91"/>
      <c r="B123" s="91"/>
      <c r="C123" s="91"/>
      <c r="D123" s="91"/>
      <c r="E123" s="91"/>
      <c r="F123" s="91"/>
      <c r="G123" s="91"/>
    </row>
    <row r="125" spans="1:7" x14ac:dyDescent="0.2">
      <c r="C125" s="134" t="s">
        <v>53</v>
      </c>
      <c r="D125" s="134" t="s">
        <v>54</v>
      </c>
      <c r="E125" s="134" t="s">
        <v>55</v>
      </c>
      <c r="F125" s="134" t="s">
        <v>48</v>
      </c>
    </row>
    <row r="127" spans="1:7" x14ac:dyDescent="0.2">
      <c r="B127" s="97" t="s">
        <v>71</v>
      </c>
      <c r="C127" s="98">
        <f>H46</f>
        <v>30.425797853191803</v>
      </c>
      <c r="D127" s="98">
        <f>I46</f>
        <v>30.425797853191803</v>
      </c>
      <c r="E127" s="98">
        <f>J46</f>
        <v>30.425797853191803</v>
      </c>
      <c r="F127" s="98">
        <f>K46</f>
        <v>36.730366164995615</v>
      </c>
      <c r="G127" s="94" t="s">
        <v>22</v>
      </c>
    </row>
    <row r="128" spans="1:7" x14ac:dyDescent="0.2">
      <c r="B128" s="96" t="s">
        <v>72</v>
      </c>
      <c r="C128" s="77">
        <f>H48</f>
        <v>18.682553008163861</v>
      </c>
      <c r="D128" s="77">
        <f>I48</f>
        <v>18.682553008163861</v>
      </c>
      <c r="E128" s="77">
        <f>J48</f>
        <v>18.682553008163861</v>
      </c>
      <c r="F128" s="77">
        <f>K48</f>
        <v>24.987121319967677</v>
      </c>
      <c r="G128" s="94" t="s">
        <v>22</v>
      </c>
    </row>
    <row r="131" spans="3:7" x14ac:dyDescent="0.2">
      <c r="C131" s="104">
        <f>H50</f>
        <v>20.607012208219043</v>
      </c>
      <c r="D131" s="104">
        <f>I50</f>
        <v>20.607012208219043</v>
      </c>
      <c r="E131" s="104">
        <f>J50</f>
        <v>20.607012208219043</v>
      </c>
      <c r="F131" s="101">
        <f>K50</f>
        <v>26.911580520022852</v>
      </c>
      <c r="G131" s="105" t="s">
        <v>22</v>
      </c>
    </row>
    <row r="132" spans="3:7" x14ac:dyDescent="0.2">
      <c r="C132" s="144"/>
      <c r="D132" s="144"/>
      <c r="E132" s="144"/>
      <c r="F132" s="144"/>
    </row>
    <row r="137" spans="3:7" x14ac:dyDescent="0.2">
      <c r="C137" s="135" t="s">
        <v>53</v>
      </c>
      <c r="D137" s="135" t="s">
        <v>54</v>
      </c>
      <c r="E137" s="135" t="s">
        <v>55</v>
      </c>
      <c r="F137" s="135" t="s">
        <v>48</v>
      </c>
    </row>
    <row r="138" spans="3:7" ht="21" customHeight="1" x14ac:dyDescent="0.2">
      <c r="C138" s="95">
        <f>H57</f>
        <v>43</v>
      </c>
      <c r="D138" s="95">
        <f>I57</f>
        <v>40.200000000000003</v>
      </c>
      <c r="E138" s="95">
        <f>J57</f>
        <v>39.4</v>
      </c>
      <c r="F138" s="101">
        <f>K57</f>
        <v>46.432446544615573</v>
      </c>
      <c r="G138" s="105" t="s">
        <v>22</v>
      </c>
    </row>
  </sheetData>
  <mergeCells count="9">
    <mergeCell ref="C88:D88"/>
    <mergeCell ref="G108:G109"/>
    <mergeCell ref="G112:G113"/>
    <mergeCell ref="C4:E4"/>
    <mergeCell ref="C5:D5"/>
    <mergeCell ref="C6:E6"/>
    <mergeCell ref="C7:E7"/>
    <mergeCell ref="C8:E8"/>
    <mergeCell ref="C9:E9"/>
  </mergeCells>
  <pageMargins left="0.75" right="0.75" top="1" bottom="1" header="0.5" footer="0.5"/>
  <pageSetup paperSize="0" scale="96" orientation="portrait" horizontalDpi="4294967292" verticalDpi="4294967292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3" name="Lista pendente 288">
              <controlPr defaultSize="0" autoLine="0" autoPict="0">
                <anchor moveWithCells="1">
                  <from>
                    <xdr:col>11</xdr:col>
                    <xdr:colOff>476250</xdr:colOff>
                    <xdr:row>21</xdr:row>
                    <xdr:rowOff>28575</xdr:rowOff>
                  </from>
                  <to>
                    <xdr:col>14</xdr:col>
                    <xdr:colOff>238125</xdr:colOff>
                    <xdr:row>22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Ponto 2-A</vt:lpstr>
      <vt:lpstr>Ponto 2-B</vt:lpstr>
      <vt:lpstr>Ponto 3-A</vt:lpstr>
      <vt:lpstr>Ponto 3-B</vt:lpstr>
      <vt:lpstr>Ponto 4-A</vt:lpstr>
      <vt:lpstr>Ponto 4-B</vt:lpstr>
      <vt:lpstr>Ponto 5-A</vt:lpstr>
      <vt:lpstr>Ponto 5-B</vt:lpstr>
      <vt:lpstr>'Ponto 2-A'!Área_de_Impressão</vt:lpstr>
      <vt:lpstr>'Ponto 2-B'!Área_de_Impressão</vt:lpstr>
      <vt:lpstr>'Ponto 3-A'!Área_de_Impressão</vt:lpstr>
      <vt:lpstr>'Ponto 3-B'!Área_de_Impressão</vt:lpstr>
      <vt:lpstr>'Ponto 4-A'!Área_de_Impressão</vt:lpstr>
      <vt:lpstr>'Ponto 4-B'!Área_de_Impressão</vt:lpstr>
      <vt:lpstr>'Ponto 5-A'!Área_de_Impressão</vt:lpstr>
      <vt:lpstr>'Ponto 5-B'!Área_de_Impressão</vt:lpstr>
    </vt:vector>
  </TitlesOfParts>
  <Company>hj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Ferreira</dc:creator>
  <cp:lastModifiedBy>RDLeo</cp:lastModifiedBy>
  <cp:lastPrinted>2020-07-31T08:41:51Z</cp:lastPrinted>
  <dcterms:created xsi:type="dcterms:W3CDTF">2008-11-24T14:44:50Z</dcterms:created>
  <dcterms:modified xsi:type="dcterms:W3CDTF">2023-12-06T12:33:41Z</dcterms:modified>
</cp:coreProperties>
</file>